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codeName="ThisWorkbook"/>
  <mc:AlternateContent xmlns:mc="http://schemas.openxmlformats.org/markup-compatibility/2006">
    <mc:Choice Requires="x15">
      <x15ac:absPath xmlns:x15ac="http://schemas.microsoft.com/office/spreadsheetml/2010/11/ac" url="Y:\OSP\Electronic Research Administration\Website\Budget Templates\July 2024 Drafts\"/>
    </mc:Choice>
  </mc:AlternateContent>
  <xr:revisionPtr revIDLastSave="0" documentId="8_{C78876E9-FA83-4E32-BF49-1EDBDE297D51}" xr6:coauthVersionLast="47" xr6:coauthVersionMax="47" xr10:uidLastSave="{00000000-0000-0000-0000-000000000000}"/>
  <bookViews>
    <workbookView xWindow="-108" yWindow="-108" windowWidth="23256" windowHeight="12456" xr2:uid="{00000000-000D-0000-FFFF-FFFF00000000}"/>
  </bookViews>
  <sheets>
    <sheet name="NSF 1030 10-99" sheetId="2" r:id="rId1"/>
    <sheet name="Look up tables" sheetId="3" r:id="rId2"/>
  </sheets>
  <definedNames>
    <definedName name="Answers">'Look up tables'!$F$9:$F$10</definedName>
    <definedName name="Dates2027">'Look up tables'!$A$2:$A$104</definedName>
    <definedName name="January_2019">'NSF 1030 10-99'!$P$15</definedName>
    <definedName name="_xlnm.Print_Area" localSheetId="0">'NSF 1030 10-99'!$A$1:$N$366</definedName>
    <definedName name="ProjectType">'Look up tables'!$F$2:$F$6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3" i="2" l="1"/>
  <c r="Q354" i="2"/>
  <c r="Q355" i="2"/>
  <c r="Q352" i="2"/>
  <c r="R87" i="2"/>
  <c r="R86" i="2"/>
  <c r="R85" i="2"/>
  <c r="R84" i="2"/>
  <c r="K359" i="2"/>
  <c r="C258" i="2"/>
  <c r="C257" i="2"/>
  <c r="C256" i="2"/>
  <c r="C255" i="2"/>
  <c r="C197" i="2"/>
  <c r="C196" i="2"/>
  <c r="C195" i="2"/>
  <c r="C194" i="2"/>
  <c r="C136" i="2"/>
  <c r="C135" i="2"/>
  <c r="C134" i="2"/>
  <c r="C133" i="2"/>
  <c r="C75" i="2" l="1"/>
  <c r="C74" i="2"/>
  <c r="C73" i="2"/>
  <c r="C72" i="2"/>
  <c r="C71" i="2"/>
  <c r="Q115" i="2"/>
  <c r="Q84" i="2"/>
  <c r="Q144" i="2" s="1"/>
  <c r="Q85" i="2"/>
  <c r="Q86" i="2"/>
  <c r="K71" i="2"/>
  <c r="Q53" i="2"/>
  <c r="H52" i="2"/>
  <c r="Q146" i="2" l="1"/>
  <c r="Q145" i="2"/>
  <c r="R144" i="2"/>
  <c r="Q205" i="2"/>
  <c r="R34" i="2"/>
  <c r="R33" i="2"/>
  <c r="R32" i="2"/>
  <c r="R145" i="2" l="1"/>
  <c r="Q206" i="2"/>
  <c r="Q207" i="2"/>
  <c r="R146" i="2"/>
  <c r="Q266" i="2"/>
  <c r="R266" i="2" s="1"/>
  <c r="R205" i="2"/>
  <c r="R35" i="2"/>
  <c r="Q268" i="2" l="1"/>
  <c r="R268" i="2" s="1"/>
  <c r="R207" i="2"/>
  <c r="Q267" i="2"/>
  <c r="R267" i="2" s="1"/>
  <c r="R269" i="2" s="1"/>
  <c r="R206" i="2"/>
  <c r="R208" i="2" s="1"/>
  <c r="R147" i="2"/>
  <c r="R47" i="2"/>
  <c r="C10" i="2" l="1"/>
  <c r="A44" i="3" l="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365" i="2" l="1"/>
  <c r="A304" i="2"/>
  <c r="A243" i="2"/>
  <c r="A182" i="2"/>
  <c r="A121" i="2"/>
  <c r="K132" i="2" l="1"/>
  <c r="K193" i="2" s="1"/>
  <c r="K254" i="2" s="1"/>
  <c r="C317" i="2"/>
  <c r="C318" i="2"/>
  <c r="C319" i="2"/>
  <c r="C316" i="2"/>
  <c r="Q176" i="2"/>
  <c r="Q237" i="2" s="1"/>
  <c r="Q298" i="2" s="1"/>
  <c r="K106" i="2"/>
  <c r="K167" i="2" s="1"/>
  <c r="K47" i="2"/>
  <c r="K104" i="2"/>
  <c r="K165" i="2" s="1"/>
  <c r="K226" i="2" s="1"/>
  <c r="K287" i="2" s="1"/>
  <c r="K105" i="2"/>
  <c r="K166" i="2" s="1"/>
  <c r="K103" i="2"/>
  <c r="K164" i="2" s="1"/>
  <c r="K225" i="2" s="1"/>
  <c r="K286" i="2" s="1"/>
  <c r="K94" i="2"/>
  <c r="K155" i="2" s="1"/>
  <c r="K216" i="2" s="1"/>
  <c r="K277" i="2" s="1"/>
  <c r="K93" i="2"/>
  <c r="K154" i="2" s="1"/>
  <c r="K215" i="2" s="1"/>
  <c r="K276" i="2" s="1"/>
  <c r="K80" i="2"/>
  <c r="K141" i="2" s="1"/>
  <c r="K202" i="2" s="1"/>
  <c r="K263" i="2" s="1"/>
  <c r="K81" i="2"/>
  <c r="Q114" i="2" s="1"/>
  <c r="K108" i="2" s="1"/>
  <c r="K82" i="2"/>
  <c r="K143" i="2" s="1"/>
  <c r="K204" i="2" s="1"/>
  <c r="K265" i="2" s="1"/>
  <c r="K83" i="2"/>
  <c r="K144" i="2" s="1"/>
  <c r="K205" i="2" s="1"/>
  <c r="K266" i="2" s="1"/>
  <c r="K84" i="2"/>
  <c r="K145" i="2" s="1"/>
  <c r="K206" i="2" s="1"/>
  <c r="K267" i="2" s="1"/>
  <c r="K79" i="2"/>
  <c r="K140" i="2" s="1"/>
  <c r="K201" i="2" s="1"/>
  <c r="K262" i="2" s="1"/>
  <c r="K72" i="2"/>
  <c r="K133" i="2" s="1"/>
  <c r="K194" i="2" s="1"/>
  <c r="K255" i="2" s="1"/>
  <c r="K73" i="2"/>
  <c r="K134" i="2" s="1"/>
  <c r="K195" i="2" s="1"/>
  <c r="K256" i="2" s="1"/>
  <c r="K74" i="2"/>
  <c r="K135" i="2" s="1"/>
  <c r="K196" i="2" s="1"/>
  <c r="K257" i="2" s="1"/>
  <c r="K75" i="2"/>
  <c r="K136" i="2" s="1"/>
  <c r="K197" i="2" s="1"/>
  <c r="K258" i="2" s="1"/>
  <c r="K76" i="2"/>
  <c r="K137" i="2" s="1"/>
  <c r="K198" i="2" s="1"/>
  <c r="K259" i="2" s="1"/>
  <c r="H357" i="2"/>
  <c r="F117" i="2"/>
  <c r="F361" i="2" s="1"/>
  <c r="A180" i="2"/>
  <c r="A363" i="2"/>
  <c r="A302" i="2"/>
  <c r="A241" i="2"/>
  <c r="A119" i="2"/>
  <c r="A58" i="2"/>
  <c r="R48" i="2"/>
  <c r="R109" i="2" s="1"/>
  <c r="R49" i="2"/>
  <c r="R110" i="2" s="1"/>
  <c r="R50" i="2"/>
  <c r="R111" i="2" s="1"/>
  <c r="K284" i="2"/>
  <c r="K290" i="2"/>
  <c r="K223" i="2"/>
  <c r="K229" i="2"/>
  <c r="K168" i="2"/>
  <c r="K162" i="2"/>
  <c r="K107" i="2"/>
  <c r="K101" i="2"/>
  <c r="K40" i="2"/>
  <c r="K46" i="2"/>
  <c r="K16" i="2"/>
  <c r="A311" i="2"/>
  <c r="C315" i="2" s="1"/>
  <c r="A250" i="2"/>
  <c r="A189" i="2"/>
  <c r="C254" i="2" s="1"/>
  <c r="A128" i="2"/>
  <c r="C193" i="2" s="1"/>
  <c r="A67" i="2"/>
  <c r="C132" i="2" s="1"/>
  <c r="K336" i="2"/>
  <c r="E340" i="2"/>
  <c r="E341" i="2"/>
  <c r="E342" i="2"/>
  <c r="E343" i="2"/>
  <c r="H174" i="2"/>
  <c r="K142" i="2" l="1"/>
  <c r="Q175" i="2" s="1"/>
  <c r="K109" i="2"/>
  <c r="K228" i="2"/>
  <c r="K227" i="2"/>
  <c r="K288" i="2" s="1"/>
  <c r="H296" i="2"/>
  <c r="H235" i="2"/>
  <c r="H113" i="2"/>
  <c r="R108" i="2"/>
  <c r="R169" i="2" s="1"/>
  <c r="K337" i="2"/>
  <c r="K348" i="2"/>
  <c r="K316" i="2"/>
  <c r="K319" i="2"/>
  <c r="K199" i="2"/>
  <c r="K138" i="2"/>
  <c r="K328" i="2"/>
  <c r="K315" i="2"/>
  <c r="K318" i="2"/>
  <c r="K351" i="2"/>
  <c r="K345" i="2"/>
  <c r="K77" i="2"/>
  <c r="K324" i="2"/>
  <c r="K317" i="2"/>
  <c r="K327" i="2"/>
  <c r="K320" i="2"/>
  <c r="K326" i="2"/>
  <c r="K338" i="2"/>
  <c r="K260" i="2"/>
  <c r="K323" i="2"/>
  <c r="K347" i="2"/>
  <c r="R170" i="2"/>
  <c r="R231" i="2" s="1"/>
  <c r="R292" i="2" s="1"/>
  <c r="R171" i="2"/>
  <c r="R232" i="2" s="1"/>
  <c r="R172" i="2"/>
  <c r="R233" i="2" s="1"/>
  <c r="R294" i="2" s="1"/>
  <c r="K48" i="2"/>
  <c r="K24" i="2"/>
  <c r="K25" i="2" s="1"/>
  <c r="K146" i="2" l="1"/>
  <c r="K147" i="2" s="1"/>
  <c r="K203" i="2"/>
  <c r="K169" i="2"/>
  <c r="K170" i="2" s="1"/>
  <c r="K349" i="2"/>
  <c r="K289" i="2"/>
  <c r="K350" i="2" s="1"/>
  <c r="R230" i="2"/>
  <c r="R291" i="2" s="1"/>
  <c r="K85" i="2"/>
  <c r="K86" i="2" s="1"/>
  <c r="K321" i="2"/>
  <c r="R293" i="2"/>
  <c r="K26" i="2"/>
  <c r="K264" i="2" l="1"/>
  <c r="Q236" i="2"/>
  <c r="K230" i="2" s="1"/>
  <c r="K207" i="2"/>
  <c r="K208" i="2" s="1"/>
  <c r="K148" i="2"/>
  <c r="K171" i="2" s="1"/>
  <c r="K87" i="2"/>
  <c r="K110" i="2" s="1"/>
  <c r="K49" i="2"/>
  <c r="G51" i="2" s="1"/>
  <c r="K268" i="2" l="1"/>
  <c r="K269" i="2" s="1"/>
  <c r="Q297" i="2"/>
  <c r="K291" i="2" s="1"/>
  <c r="K292" i="2" s="1"/>
  <c r="K325" i="2"/>
  <c r="K209" i="2"/>
  <c r="K231" i="2"/>
  <c r="G173" i="2"/>
  <c r="K174" i="2" s="1"/>
  <c r="K175" i="2" s="1"/>
  <c r="K177" i="2" s="1"/>
  <c r="G112" i="2"/>
  <c r="K113" i="2" s="1"/>
  <c r="K114" i="2" s="1"/>
  <c r="K116" i="2" s="1"/>
  <c r="K329" i="2" l="1"/>
  <c r="K330" i="2"/>
  <c r="K353" i="2"/>
  <c r="K232" i="2"/>
  <c r="G234" i="2" s="1"/>
  <c r="K235" i="2" s="1"/>
  <c r="K236" i="2" s="1"/>
  <c r="K238" i="2" s="1"/>
  <c r="K352" i="2"/>
  <c r="K52" i="2"/>
  <c r="K270" i="2" l="1"/>
  <c r="K293" i="2" s="1"/>
  <c r="K354" i="2" s="1"/>
  <c r="K53" i="2"/>
  <c r="G295" i="2" l="1"/>
  <c r="K296" i="2" s="1"/>
  <c r="K297" i="2" s="1"/>
  <c r="K299" i="2" s="1"/>
  <c r="K331" i="2"/>
  <c r="K55" i="2"/>
  <c r="K358" i="2" l="1"/>
  <c r="G356" i="2"/>
  <c r="K357" i="2"/>
  <c r="K3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Office of Computing Services</author>
    <author xml:space="preserve"> rtrahan</author>
  </authors>
  <commentList>
    <comment ref="P17" authorId="0" shapeId="0" xr:uid="{00000000-0006-0000-0000-000001000000}">
      <text>
        <r>
          <rPr>
            <b/>
            <sz val="8"/>
            <color indexed="81"/>
            <rFont val="Tahoma"/>
            <family val="2"/>
          </rPr>
          <t>If F&amp;A is sponsor limited, select "Other" and enter sponsor limited rate in P18.</t>
        </r>
        <r>
          <rPr>
            <sz val="8"/>
            <color indexed="81"/>
            <rFont val="Tahoma"/>
            <family val="2"/>
          </rPr>
          <t xml:space="preserve">
</t>
        </r>
      </text>
    </comment>
    <comment ref="K40" authorId="0" shapeId="0" xr:uid="{00000000-0006-0000-0000-00000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46" authorId="1" shapeId="0" xr:uid="{00000000-0006-0000-0000-000003000000}">
      <text>
        <r>
          <rPr>
            <sz val="8"/>
            <color indexed="81"/>
            <rFont val="Tahoma"/>
            <family val="2"/>
          </rPr>
          <t>Insert all Subcontract information in cells to right of form.</t>
        </r>
      </text>
    </comment>
    <comment ref="K47" authorId="2" shapeId="0" xr:uid="{00000000-0006-0000-0000-000004000000}">
      <text>
        <r>
          <rPr>
            <sz val="9"/>
            <color indexed="81"/>
            <rFont val="Tahoma"/>
            <family val="2"/>
          </rPr>
          <t xml:space="preserve">Insert all Other Direct Cost information in cells to right of form.
</t>
        </r>
      </text>
    </comment>
    <comment ref="Q53" authorId="2" shapeId="0" xr:uid="{00000000-0006-0000-0000-000005000000}">
      <text>
        <r>
          <rPr>
            <sz val="9"/>
            <color indexed="81"/>
            <rFont val="Tahoma"/>
            <family val="2"/>
          </rPr>
          <t>Do not budget tuition remission when it is prohibited by the sponsor's published guidelines.</t>
        </r>
        <r>
          <rPr>
            <sz val="9"/>
            <color indexed="81"/>
            <rFont val="Tahoma"/>
            <family val="2"/>
          </rPr>
          <t xml:space="preserve">
</t>
        </r>
      </text>
    </comment>
    <comment ref="K101" authorId="0" shapeId="0" xr:uid="{00000000-0006-0000-0000-000006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107" authorId="2" shapeId="0" xr:uid="{00000000-0006-0000-0000-000007000000}">
      <text>
        <r>
          <rPr>
            <sz val="9"/>
            <color indexed="81"/>
            <rFont val="Tahoma"/>
            <family val="2"/>
          </rPr>
          <t xml:space="preserve">Insert all Subcontract information in cells to right of form.
</t>
        </r>
      </text>
    </comment>
    <comment ref="K108" authorId="2" shapeId="0" xr:uid="{00000000-0006-0000-0000-000008000000}">
      <text>
        <r>
          <rPr>
            <sz val="9"/>
            <color indexed="81"/>
            <rFont val="Tahoma"/>
            <family val="2"/>
          </rPr>
          <t xml:space="preserve">Insert all Other Direct Cost information in cells to right of form.
</t>
        </r>
      </text>
    </comment>
    <comment ref="Q114" authorId="2" shapeId="0" xr:uid="{00000000-0006-0000-0000-000009000000}">
      <text>
        <r>
          <rPr>
            <sz val="9"/>
            <color indexed="81"/>
            <rFont val="Tahoma"/>
            <family val="2"/>
          </rPr>
          <t>Do not budget tuition remission when it is prohibited by the sponsor's published guidelines.</t>
        </r>
        <r>
          <rPr>
            <sz val="9"/>
            <color indexed="81"/>
            <rFont val="Tahoma"/>
            <family val="2"/>
          </rPr>
          <t xml:space="preserve">
</t>
        </r>
      </text>
    </comment>
    <comment ref="K162" authorId="0" shapeId="0" xr:uid="{00000000-0006-0000-0000-00000A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168" authorId="2" shapeId="0" xr:uid="{00000000-0006-0000-0000-00000B000000}">
      <text>
        <r>
          <rPr>
            <sz val="9"/>
            <color indexed="81"/>
            <rFont val="Tahoma"/>
            <family val="2"/>
          </rPr>
          <t xml:space="preserve">Insert all Subcontract information in cells to right of form.
</t>
        </r>
      </text>
    </comment>
    <comment ref="K169" authorId="2" shapeId="0" xr:uid="{00000000-0006-0000-0000-00000C000000}">
      <text>
        <r>
          <rPr>
            <sz val="9"/>
            <color indexed="81"/>
            <rFont val="Tahoma"/>
            <family val="2"/>
          </rPr>
          <t xml:space="preserve">Insert all Other Direct Cost information in cells to right of form.
</t>
        </r>
      </text>
    </comment>
    <comment ref="Q175" authorId="2" shapeId="0" xr:uid="{00000000-0006-0000-0000-00000D000000}">
      <text>
        <r>
          <rPr>
            <sz val="9"/>
            <color indexed="81"/>
            <rFont val="Tahoma"/>
            <family val="2"/>
          </rPr>
          <t>Do not budget tuition remission when it is prohibited by the sponsor's published guidelines.</t>
        </r>
        <r>
          <rPr>
            <sz val="9"/>
            <color indexed="81"/>
            <rFont val="Tahoma"/>
            <family val="2"/>
          </rPr>
          <t xml:space="preserve">
</t>
        </r>
      </text>
    </comment>
    <comment ref="K223" authorId="0" shapeId="0" xr:uid="{00000000-0006-0000-0000-00000E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K229" authorId="2" shapeId="0" xr:uid="{00000000-0006-0000-0000-00000F000000}">
      <text>
        <r>
          <rPr>
            <sz val="9"/>
            <color indexed="81"/>
            <rFont val="Tahoma"/>
            <family val="2"/>
          </rPr>
          <t xml:space="preserve">Insert all Subcontract information in cells to right of form.
</t>
        </r>
      </text>
    </comment>
    <comment ref="K230" authorId="2" shapeId="0" xr:uid="{00000000-0006-0000-0000-000010000000}">
      <text>
        <r>
          <rPr>
            <sz val="9"/>
            <color indexed="81"/>
            <rFont val="Tahoma"/>
            <family val="2"/>
          </rPr>
          <t xml:space="preserve">Insert all Other Direct Cost information in cells to right of form.
</t>
        </r>
      </text>
    </comment>
    <comment ref="Q236" authorId="2" shapeId="0" xr:uid="{00000000-0006-0000-0000-000011000000}">
      <text>
        <r>
          <rPr>
            <sz val="9"/>
            <color indexed="81"/>
            <rFont val="Tahoma"/>
            <family val="2"/>
          </rPr>
          <t>Do not budget tuition remission when it is prohibited by the sponsor's published guidelines.</t>
        </r>
        <r>
          <rPr>
            <sz val="9"/>
            <color indexed="81"/>
            <rFont val="Tahoma"/>
            <family val="2"/>
          </rPr>
          <t xml:space="preserve">
</t>
        </r>
      </text>
    </comment>
    <comment ref="K284" authorId="0" shapeId="0" xr:uid="{00000000-0006-0000-0000-00001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290" authorId="2" shapeId="0" xr:uid="{00000000-0006-0000-0000-000013000000}">
      <text>
        <r>
          <rPr>
            <sz val="9"/>
            <color indexed="81"/>
            <rFont val="Tahoma"/>
            <family val="2"/>
          </rPr>
          <t xml:space="preserve">Insert all Subcontract information in cells to right of form.
</t>
        </r>
      </text>
    </comment>
    <comment ref="K291" authorId="2" shapeId="0" xr:uid="{00000000-0006-0000-0000-000014000000}">
      <text>
        <r>
          <rPr>
            <sz val="9"/>
            <color indexed="81"/>
            <rFont val="Tahoma"/>
            <family val="2"/>
          </rPr>
          <t xml:space="preserve">Insert all Other Direct Cost information in cells to right of form.
</t>
        </r>
      </text>
    </comment>
    <comment ref="Q297" authorId="2" shapeId="0" xr:uid="{00000000-0006-0000-0000-000015000000}">
      <text>
        <r>
          <rPr>
            <sz val="9"/>
            <color indexed="81"/>
            <rFont val="Tahoma"/>
            <family val="2"/>
          </rPr>
          <t>Do not budget tuition remission when it is prohibited by the sponsor's published guidelines.</t>
        </r>
        <r>
          <rPr>
            <sz val="9"/>
            <color indexed="81"/>
            <rFont val="Tahoma"/>
            <family val="2"/>
          </rPr>
          <t xml:space="preserve">
</t>
        </r>
      </text>
    </comment>
  </commentList>
</comments>
</file>

<file path=xl/sharedStrings.xml><?xml version="1.0" encoding="utf-8"?>
<sst xmlns="http://schemas.openxmlformats.org/spreadsheetml/2006/main" count="684" uniqueCount="138">
  <si>
    <t>YEAR 1</t>
  </si>
  <si>
    <t>FOR NSF USE ONLY</t>
  </si>
  <si>
    <t>ORGANIZATION</t>
  </si>
  <si>
    <t>PROPOSAL NO.</t>
  </si>
  <si>
    <t>DURATION (MONTHS)</t>
  </si>
  <si>
    <t>Louisiana State University and Agricultural and Mechanical College</t>
  </si>
  <si>
    <t>Proposed</t>
  </si>
  <si>
    <t>Granted</t>
  </si>
  <si>
    <t>PRINCIPAL INVESTIGATOR/PROJECT DIRECTOR</t>
  </si>
  <si>
    <t>AWARD NO.</t>
  </si>
  <si>
    <t xml:space="preserve">A. SENIOR PERSONNEL: PI/PD, Co-PI´S, Faculty and Other Senior Associates </t>
  </si>
  <si>
    <t>NSF-Funded</t>
  </si>
  <si>
    <t>Funds</t>
  </si>
  <si>
    <t>Person-months</t>
  </si>
  <si>
    <t>Requested By</t>
  </si>
  <si>
    <t>Granted by NSF</t>
  </si>
  <si>
    <t>CAL</t>
  </si>
  <si>
    <t>ACAD</t>
  </si>
  <si>
    <t>SUMR</t>
  </si>
  <si>
    <t>Proposer</t>
  </si>
  <si>
    <t>(If Different)</t>
  </si>
  <si>
    <t> 1.</t>
  </si>
  <si>
    <t> 2.</t>
  </si>
  <si>
    <t> 3.</t>
  </si>
  <si>
    <t> 4.</t>
  </si>
  <si>
    <t> 5.</t>
  </si>
  <si>
    <t> 6. (</t>
  </si>
  <si>
    <t>) OTHERS (LIST INDIVIDUALLY ON BUDGET EXPLANATION PAGE)</t>
  </si>
  <si>
    <t> 7. (</t>
  </si>
  <si>
    <t>) TOTAL SENIOR PERSONNEL (1-6)</t>
  </si>
  <si>
    <t>B. OTHER PERSONNEL (SHOW NUMBERS IN BRACKETS)</t>
  </si>
  <si>
    <t> 1. (</t>
  </si>
  <si>
    <t>) POST DOCTORAL ASSOCIATES</t>
  </si>
  <si>
    <t> 2. (</t>
  </si>
  <si>
    <t>) OTHER PROFESSIONALS (TECHNICIAN, PROGRAMMER, ETC.)</t>
  </si>
  <si>
    <t> 3. (</t>
  </si>
  <si>
    <t>) GRADUATE STUDENTS</t>
  </si>
  <si>
    <t> 4. (</t>
  </si>
  <si>
    <t>) UNDERGRADUATE STUDENTS</t>
  </si>
  <si>
    <t> 5. (</t>
  </si>
  <si>
    <t>) SECRETARIAL - CLERICAL (IF CHARGED DIRECTLY)</t>
  </si>
  <si>
    <t>) OTHER</t>
  </si>
  <si>
    <t>TOTAL SALARIES AND WAGES (A+B)</t>
  </si>
  <si>
    <t>C. FRINGE BENEFITS (IF CHARGED AS DIRECT COSTS)</t>
  </si>
  <si>
    <t>(A.7+B.1+B.2+B.5) * Rate</t>
  </si>
  <si>
    <t>TOTAL SALARIES, WAGES AND FRINGE BENEFITS (A+B+C)</t>
  </si>
  <si>
    <t>D. PERMANENT EQUIPMENT (LIST ITEM AND DOLLAR AMOUNT FOR EACH ITEM EXCEEDING $5,000)</t>
  </si>
  <si>
    <t>TOTAL EQUIPMENT</t>
  </si>
  <si>
    <t>E. TRAVEL</t>
  </si>
  <si>
    <t>2. FOREIGN</t>
  </si>
  <si>
    <t>F. PARTICIPANT SUPPORT COSTS</t>
  </si>
  <si>
    <t xml:space="preserve">1. STIPENDS            $   </t>
  </si>
  <si>
    <t>2. TRAVEL</t>
  </si>
  <si>
    <t>3. SUBSISTENCE</t>
  </si>
  <si>
    <t>4. OTHER</t>
  </si>
  <si>
    <t>G. OTHER DIRECT COSTS</t>
  </si>
  <si>
    <t>1. MATERIALS AND SUPPLIES</t>
  </si>
  <si>
    <t>2. PUBLICATION COSTS/DOCUMENTATION/DISSEMINATION</t>
  </si>
  <si>
    <t>3. CONSULTANT SERVICES</t>
  </si>
  <si>
    <t>4. COMPUTER SERVICES</t>
  </si>
  <si>
    <t>5. SUBAWARDS</t>
  </si>
  <si>
    <t>MTDC Base</t>
  </si>
  <si>
    <t>6. OTHER</t>
  </si>
  <si>
    <t>Insert Subcontract</t>
  </si>
  <si>
    <t>Amount</t>
  </si>
  <si>
    <t>TOTAL OTHER DIRECT COSTS</t>
  </si>
  <si>
    <t>Information:</t>
  </si>
  <si>
    <t>YEAR ONE</t>
  </si>
  <si>
    <t>(automatic)</t>
  </si>
  <si>
    <t>H. TOTAL DIRECT COSTS (A THROUGH G)</t>
  </si>
  <si>
    <t>Subcontract 1:</t>
  </si>
  <si>
    <t xml:space="preserve"> I. INDIRECT COSTS (F&amp;A) (SPECIFY RATE AND BASE)</t>
  </si>
  <si>
    <t>Subcontract 2:</t>
  </si>
  <si>
    <t>Base = MTDC = H-D-F+first 25K of each subaward =</t>
  </si>
  <si>
    <t>Subcontract 3:</t>
  </si>
  <si>
    <t>TOTAL INDIRECT COSTS (F&amp;A)</t>
  </si>
  <si>
    <t>Rate</t>
  </si>
  <si>
    <t>Subcontract 4:</t>
  </si>
  <si>
    <t>J. TOTAL DIRECT AND INDIRECT COSTS (H+I)</t>
  </si>
  <si>
    <t>K. RESIDUAL FUNDS (IF FOR FURTHER SUPPORT OF CURRENT PROJECTS SEE GPG II.D.7.j.)</t>
  </si>
  <si>
    <t>L. AMOUNT OF THIS REQUEST (J) OR (J MINUS K)</t>
  </si>
  <si>
    <t>M. COST SHARING: PROPOSED LEVEL  $    </t>
  </si>
  <si>
    <t>AGREED LEVEL IF DIFFERENT $</t>
  </si>
  <si>
    <t>DATE</t>
  </si>
  <si>
    <t>INDIRECT COST RATE VERIFICATION</t>
  </si>
  <si>
    <t>Date Checked</t>
  </si>
  <si>
    <t>Date of Rate Sheet</t>
  </si>
  <si>
    <t>Initials-ORG</t>
  </si>
  <si>
    <t>YEAR 2</t>
  </si>
  <si>
    <t>YEAR TWO</t>
  </si>
  <si>
    <t>YEAR 3</t>
  </si>
  <si>
    <t>YEAR THREE</t>
  </si>
  <si>
    <t>YEAR 4</t>
  </si>
  <si>
    <t>YEAR FOUR</t>
  </si>
  <si>
    <t>YEAR 5</t>
  </si>
  <si>
    <t>YEAR FIVE</t>
  </si>
  <si>
    <t>COMPOSITE</t>
  </si>
  <si>
    <t>SUMMARY PROPOSAL BUDGET</t>
  </si>
  <si>
    <t>(List each separately with name and title, A.7. Show number in brackets)</t>
  </si>
  <si>
    <t>TOTAL PARTICIPANT COSTS</t>
  </si>
  <si>
    <t>TOTAL NUMBER OF PARTICIPANTS(   )</t>
  </si>
  <si>
    <t>Inflationary rate in Personnel</t>
  </si>
  <si>
    <t>Inflationary rate in Non-Personnel</t>
  </si>
  <si>
    <t>excluding equipment and subcontracts</t>
  </si>
  <si>
    <t>Enter No. of Project Years</t>
  </si>
  <si>
    <t>Select type of project for F&amp;A rate</t>
  </si>
  <si>
    <t>Fringe Benefit</t>
  </si>
  <si>
    <t>If Contingent Employees, enter salaries here and in budget</t>
  </si>
  <si>
    <t>Regular</t>
  </si>
  <si>
    <t>Contingent/Transient</t>
  </si>
  <si>
    <t>Enter Sponsor limited F&amp;A rate (select Other from type of project)</t>
  </si>
  <si>
    <t>Tuition Remission:</t>
  </si>
  <si>
    <t>Other Costs:</t>
  </si>
  <si>
    <t>Direct Costs (G6):</t>
  </si>
  <si>
    <t>Insert Other</t>
  </si>
  <si>
    <t>NSF Form 1030</t>
  </si>
  <si>
    <t xml:space="preserve">NSF Form 1030 </t>
  </si>
  <si>
    <t>(Type PI name in Year 1 cell A6 and sheet will auto-fill where needed)</t>
  </si>
  <si>
    <t>Yes</t>
  </si>
  <si>
    <t>No</t>
  </si>
  <si>
    <t>ORG. REP. TYPED NAME</t>
  </si>
  <si>
    <t>PI/PD TYPED NAME</t>
  </si>
  <si>
    <t xml:space="preserve">ORG. REP. TYPED NAME </t>
  </si>
  <si>
    <t>Darya Courville, Executive Director, Sponsored Programs</t>
  </si>
  <si>
    <t>1. DOMESTIC (INCL. U.S. TERRITORIES AND POSSESSIONS)</t>
  </si>
  <si>
    <t>Enter Projected Start Date (Month/Year)</t>
  </si>
  <si>
    <t>Type of Graduate Assistant</t>
  </si>
  <si>
    <t>Calendar</t>
  </si>
  <si>
    <t xml:space="preserve">Academic </t>
  </si>
  <si>
    <t>Summer</t>
  </si>
  <si>
    <t>Public Service On-Campus</t>
  </si>
  <si>
    <t>Instruction On-Campus</t>
  </si>
  <si>
    <t>Off-Campus</t>
  </si>
  <si>
    <t>Other</t>
  </si>
  <si>
    <t>Research On-Campus</t>
  </si>
  <si>
    <t>Yearly Effort in Months (combined for all GAs)</t>
  </si>
  <si>
    <t>CUMULATIVE</t>
  </si>
  <si>
    <t>Subcontract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</si>
</sst>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164" formatCode="0."/>
    <numFmt numFmtId="165" formatCode="0.0"/>
    <numFmt numFmtId="166" formatCode="0.0%"/>
    <numFmt numFmtId="167" formatCode="&quot;$&quot;#,##0"/>
    <numFmt numFmtId="168" formatCode="mmm\-yyyy"/>
    <numFmt numFmtId="169" formatCode="mmmm\-yyyy"/>
  </numFmts>
  <fonts count="25">
    <font>
      <sz val="10"/>
      <name val="Geneva"/>
    </font>
    <font>
      <b/>
      <sz val="10"/>
      <name val="Geneva"/>
    </font>
    <font>
      <sz val="10"/>
      <name val="Geneva"/>
    </font>
    <font>
      <b/>
      <sz val="12"/>
      <name val="Helv"/>
    </font>
    <font>
      <sz val="9"/>
      <name val="Helv"/>
    </font>
    <font>
      <b/>
      <sz val="9"/>
      <name val="Helv"/>
    </font>
    <font>
      <b/>
      <sz val="10"/>
      <name val="Helv"/>
    </font>
    <font>
      <sz val="8"/>
      <name val="Helv"/>
    </font>
    <font>
      <sz val="9"/>
      <color indexed="9"/>
      <name val="Helv"/>
    </font>
    <font>
      <i/>
      <sz val="9"/>
      <name val="Helv"/>
    </font>
    <font>
      <sz val="10"/>
      <color indexed="12"/>
      <name val="Geneva"/>
    </font>
    <font>
      <sz val="8"/>
      <name val="Geneva"/>
    </font>
    <font>
      <sz val="10"/>
      <name val="Helv"/>
    </font>
    <font>
      <b/>
      <i/>
      <sz val="8"/>
      <name val="Helv"/>
    </font>
    <font>
      <b/>
      <sz val="8"/>
      <name val="Helv"/>
    </font>
    <font>
      <sz val="8"/>
      <color indexed="81"/>
      <name val="Tahoma"/>
      <family val="2"/>
    </font>
    <font>
      <b/>
      <sz val="8"/>
      <color indexed="81"/>
      <name val="Tahoma"/>
      <family val="2"/>
    </font>
    <font>
      <sz val="9"/>
      <color indexed="22"/>
      <name val="Helv"/>
    </font>
    <font>
      <sz val="9"/>
      <name val="Geneva"/>
    </font>
    <font>
      <b/>
      <sz val="9"/>
      <name val="Geneva"/>
    </font>
    <font>
      <sz val="9"/>
      <color indexed="81"/>
      <name val="Tahoma"/>
      <family val="2"/>
    </font>
    <font>
      <b/>
      <sz val="8"/>
      <color theme="1"/>
      <name val="Calibri"/>
      <family val="2"/>
      <scheme val="minor"/>
    </font>
    <font>
      <b/>
      <sz val="6"/>
      <color theme="1"/>
      <name val="Calibri"/>
      <family val="2"/>
      <scheme val="minor"/>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9" fontId="2" fillId="0" borderId="0" applyFont="0" applyFill="0" applyBorder="0" applyAlignment="0" applyProtection="0"/>
  </cellStyleXfs>
  <cellXfs count="190">
    <xf numFmtId="0" fontId="0" fillId="0" borderId="0" xfId="0"/>
    <xf numFmtId="0" fontId="3" fillId="0" borderId="0" xfId="0" applyFont="1" applyAlignment="1" applyProtection="1">
      <alignment horizontal="centerContinuous"/>
      <protection locked="0"/>
    </xf>
    <xf numFmtId="0" fontId="4" fillId="0" borderId="0" xfId="0" applyFont="1" applyAlignment="1" applyProtection="1">
      <alignment horizontal="centerContinuous"/>
      <protection locked="0"/>
    </xf>
    <xf numFmtId="0" fontId="0" fillId="0" borderId="0" xfId="0" applyAlignment="1">
      <alignment horizontal="centerContinuous" vertical="center"/>
    </xf>
    <xf numFmtId="0" fontId="3" fillId="0" borderId="0" xfId="0" applyFont="1" applyAlignment="1" applyProtection="1">
      <alignment horizontal="centerContinuous" vertical="center"/>
      <protection locked="0"/>
    </xf>
    <xf numFmtId="0" fontId="0" fillId="0" borderId="0" xfId="0" applyAlignment="1">
      <alignment horizontal="centerContinuous"/>
    </xf>
    <xf numFmtId="0" fontId="0" fillId="0" borderId="0" xfId="0" applyAlignment="1" applyProtection="1">
      <alignment horizontal="centerContinuous"/>
      <protection locked="0"/>
    </xf>
    <xf numFmtId="0" fontId="5" fillId="0" borderId="0" xfId="0" applyFont="1" applyAlignment="1" applyProtection="1">
      <alignment horizontal="centerContinuous"/>
      <protection locked="0"/>
    </xf>
    <xf numFmtId="0" fontId="4" fillId="0" borderId="0" xfId="0" applyFont="1" applyProtection="1">
      <protection locked="0"/>
    </xf>
    <xf numFmtId="0" fontId="6" fillId="0" borderId="0" xfId="0" applyFont="1" applyAlignment="1" applyProtection="1">
      <alignment horizontal="left"/>
      <protection locked="0"/>
    </xf>
    <xf numFmtId="0" fontId="4" fillId="0" borderId="0" xfId="0" applyFont="1" applyAlignment="1" applyProtection="1">
      <alignment horizontal="center"/>
      <protection locked="0"/>
    </xf>
    <xf numFmtId="0" fontId="0" fillId="0" borderId="0" xfId="0" applyAlignment="1">
      <alignment horizontal="left"/>
    </xf>
    <xf numFmtId="0" fontId="5" fillId="0" borderId="1" xfId="0" applyFont="1" applyBorder="1" applyAlignment="1" applyProtection="1">
      <alignment horizontal="centerContinuous"/>
      <protection locked="0"/>
    </xf>
    <xf numFmtId="0" fontId="5" fillId="0" borderId="2" xfId="0" applyFont="1" applyBorder="1" applyAlignment="1" applyProtection="1">
      <alignment horizontal="centerContinuous"/>
      <protection locked="0"/>
    </xf>
    <xf numFmtId="0" fontId="5" fillId="0" borderId="3" xfId="0" applyFont="1" applyBorder="1" applyAlignment="1" applyProtection="1">
      <alignment horizontal="centerContinuous"/>
      <protection locked="0"/>
    </xf>
    <xf numFmtId="0" fontId="4" fillId="0" borderId="4" xfId="0" applyFont="1" applyBorder="1" applyProtection="1">
      <protection locked="0"/>
    </xf>
    <xf numFmtId="0" fontId="4" fillId="0" borderId="5" xfId="0" applyFont="1" applyBorder="1" applyProtection="1">
      <protection locked="0"/>
    </xf>
    <xf numFmtId="0" fontId="4" fillId="0" borderId="4" xfId="0" applyFont="1" applyBorder="1" applyAlignment="1" applyProtection="1">
      <alignment horizontal="centerContinuous"/>
      <protection locked="0"/>
    </xf>
    <xf numFmtId="0" fontId="0" fillId="0" borderId="5" xfId="0" applyBorder="1" applyAlignment="1" applyProtection="1">
      <alignment horizontal="centerContinuous"/>
      <protection locked="0"/>
    </xf>
    <xf numFmtId="0" fontId="4" fillId="0" borderId="6" xfId="0" applyFont="1" applyBorder="1" applyAlignment="1" applyProtection="1">
      <alignment horizontal="centerContinuous"/>
      <protection locked="0"/>
    </xf>
    <xf numFmtId="0" fontId="4" fillId="0" borderId="7"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6" fillId="0" borderId="9" xfId="0" applyFont="1" applyBorder="1" applyAlignment="1" applyProtection="1">
      <alignment horizontal="left" vertical="center"/>
      <protection locked="0"/>
    </xf>
    <xf numFmtId="0" fontId="0" fillId="0" borderId="10" xfId="0" applyBorder="1"/>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0" xfId="0" applyFont="1" applyBorder="1" applyAlignment="1" applyProtection="1">
      <alignment horizontal="centerContinuous"/>
      <protection locked="0"/>
    </xf>
    <xf numFmtId="0" fontId="4" fillId="0" borderId="12" xfId="0" applyFont="1" applyBorder="1" applyAlignment="1" applyProtection="1">
      <alignment horizontal="centerContinuous"/>
      <protection locked="0"/>
    </xf>
    <xf numFmtId="0" fontId="0" fillId="0" borderId="12" xfId="0" applyBorder="1" applyAlignment="1" applyProtection="1">
      <alignment horizontal="centerContinuous"/>
      <protection locked="0"/>
    </xf>
    <xf numFmtId="0" fontId="4" fillId="0" borderId="1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13" xfId="0" applyFont="1" applyBorder="1" applyProtection="1">
      <protection locked="0"/>
    </xf>
    <xf numFmtId="0" fontId="4" fillId="0" borderId="13" xfId="0" applyFont="1" applyBorder="1" applyAlignment="1" applyProtection="1">
      <alignment horizontal="centerContinuous"/>
      <protection locked="0"/>
    </xf>
    <xf numFmtId="0" fontId="4" fillId="0" borderId="14" xfId="0" applyFont="1" applyBorder="1" applyAlignment="1" applyProtection="1">
      <alignment horizontal="left"/>
      <protection locked="0"/>
    </xf>
    <xf numFmtId="0" fontId="4" fillId="0" borderId="14" xfId="0" applyFont="1" applyBorder="1" applyAlignment="1" applyProtection="1">
      <alignment horizontal="centerContinuous"/>
      <protection locked="0"/>
    </xf>
    <xf numFmtId="0" fontId="4" fillId="0" borderId="15" xfId="0" applyFont="1" applyBorder="1" applyProtection="1">
      <protection locked="0"/>
    </xf>
    <xf numFmtId="0" fontId="5" fillId="0" borderId="9" xfId="0" applyFont="1" applyBorder="1" applyProtection="1">
      <protection locked="0"/>
    </xf>
    <xf numFmtId="0" fontId="4" fillId="0" borderId="10" xfId="0" applyFont="1" applyBorder="1" applyProtection="1">
      <protection locked="0"/>
    </xf>
    <xf numFmtId="0" fontId="0" fillId="0" borderId="16" xfId="0"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17" xfId="0" applyFont="1" applyBorder="1" applyAlignment="1" applyProtection="1">
      <alignment horizontal="centerContinuous"/>
      <protection locked="0"/>
    </xf>
    <xf numFmtId="0" fontId="4" fillId="0" borderId="18" xfId="0" applyFont="1" applyBorder="1" applyAlignment="1" applyProtection="1">
      <alignment horizontal="centerContinuous"/>
      <protection locked="0"/>
    </xf>
    <xf numFmtId="0" fontId="4" fillId="0" borderId="19" xfId="0" applyFont="1" applyBorder="1" applyProtection="1">
      <protection locked="0"/>
    </xf>
    <xf numFmtId="0" fontId="7" fillId="0" borderId="0" xfId="0" applyFont="1" applyProtection="1">
      <protection locked="0"/>
    </xf>
    <xf numFmtId="0" fontId="4" fillId="0" borderId="14" xfId="0" applyFont="1" applyBorder="1" applyProtection="1">
      <protection locked="0"/>
    </xf>
    <xf numFmtId="0" fontId="7" fillId="0" borderId="0" xfId="0" applyFont="1" applyAlignment="1" applyProtection="1">
      <alignment horizontal="centerContinuous"/>
      <protection locked="0"/>
    </xf>
    <xf numFmtId="0" fontId="0" fillId="0" borderId="14" xfId="0" applyBorder="1" applyAlignment="1" applyProtection="1">
      <alignment horizontal="centerContinuous"/>
      <protection locked="0"/>
    </xf>
    <xf numFmtId="0" fontId="7" fillId="0" borderId="14" xfId="0" applyFont="1" applyBorder="1" applyAlignment="1" applyProtection="1">
      <alignment horizontal="centerContinuous"/>
      <protection locked="0"/>
    </xf>
    <xf numFmtId="0" fontId="4" fillId="0" borderId="15" xfId="0" applyFont="1" applyBorder="1" applyAlignment="1" applyProtection="1">
      <alignment horizontal="centerContinuous"/>
      <protection locked="0"/>
    </xf>
    <xf numFmtId="0" fontId="7" fillId="0" borderId="10" xfId="0" applyFont="1" applyBorder="1" applyAlignment="1" applyProtection="1">
      <alignment horizontal="centerContinuous"/>
      <protection locked="0"/>
    </xf>
    <xf numFmtId="0" fontId="0" fillId="0" borderId="9" xfId="0" applyBorder="1" applyProtection="1">
      <protection locked="0"/>
    </xf>
    <xf numFmtId="0" fontId="4" fillId="0" borderId="10" xfId="0" applyFont="1" applyBorder="1" applyAlignment="1" applyProtection="1">
      <alignment horizontal="right"/>
      <protection locked="0"/>
    </xf>
    <xf numFmtId="0" fontId="4" fillId="0" borderId="10" xfId="0" applyFont="1" applyBorder="1" applyAlignment="1" applyProtection="1">
      <alignment horizontal="center"/>
      <protection locked="0"/>
    </xf>
    <xf numFmtId="0" fontId="4" fillId="0" borderId="12" xfId="0" applyFont="1" applyBorder="1" applyProtection="1">
      <protection locked="0"/>
    </xf>
    <xf numFmtId="0" fontId="4" fillId="0" borderId="12" xfId="0" applyFont="1" applyBorder="1" applyAlignment="1" applyProtection="1">
      <alignment horizontal="center"/>
      <protection locked="0"/>
    </xf>
    <xf numFmtId="0" fontId="4" fillId="0" borderId="11" xfId="0" applyFont="1" applyBorder="1" applyAlignment="1" applyProtection="1">
      <alignment horizontal="centerContinuous"/>
      <protection locked="0"/>
    </xf>
    <xf numFmtId="164" fontId="4" fillId="0" borderId="9" xfId="0" applyNumberFormat="1" applyFont="1" applyBorder="1" applyAlignment="1" applyProtection="1">
      <alignment horizontal="left"/>
      <protection locked="0"/>
    </xf>
    <xf numFmtId="0" fontId="5" fillId="0" borderId="10" xfId="0" applyFont="1" applyBorder="1" applyProtection="1">
      <protection locked="0"/>
    </xf>
    <xf numFmtId="0" fontId="4" fillId="0" borderId="10" xfId="0" applyFont="1" applyBorder="1" applyAlignment="1">
      <alignment horizontal="left"/>
    </xf>
    <xf numFmtId="0" fontId="4" fillId="0" borderId="10" xfId="0" applyFont="1" applyBorder="1" applyAlignment="1" applyProtection="1">
      <alignment horizontal="left"/>
      <protection locked="0"/>
    </xf>
    <xf numFmtId="0" fontId="8" fillId="0" borderId="12" xfId="0" applyFont="1" applyBorder="1" applyAlignment="1" applyProtection="1">
      <alignment horizontal="left"/>
      <protection locked="0"/>
    </xf>
    <xf numFmtId="165" fontId="4" fillId="0" borderId="12" xfId="0" applyNumberFormat="1" applyFont="1" applyBorder="1" applyAlignment="1" applyProtection="1">
      <alignment horizontal="center"/>
      <protection locked="0"/>
    </xf>
    <xf numFmtId="5" fontId="7" fillId="0" borderId="10" xfId="0" applyNumberFormat="1" applyFont="1" applyBorder="1" applyProtection="1">
      <protection locked="0"/>
    </xf>
    <xf numFmtId="0" fontId="4" fillId="0" borderId="11" xfId="0" applyFont="1" applyBorder="1" applyAlignment="1" applyProtection="1">
      <alignment horizontal="center"/>
      <protection locked="0"/>
    </xf>
    <xf numFmtId="0" fontId="5"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5" fontId="4" fillId="0" borderId="12" xfId="0" applyNumberFormat="1" applyFont="1" applyBorder="1" applyAlignment="1">
      <alignment horizontal="centerContinuous"/>
    </xf>
    <xf numFmtId="0" fontId="4" fillId="0" borderId="9" xfId="0" applyFont="1" applyBorder="1" applyProtection="1">
      <protection locked="0"/>
    </xf>
    <xf numFmtId="165" fontId="4" fillId="0" borderId="20" xfId="0" applyNumberFormat="1" applyFont="1" applyBorder="1" applyAlignment="1" applyProtection="1">
      <alignment horizontal="center"/>
      <protection locked="0"/>
    </xf>
    <xf numFmtId="165" fontId="4" fillId="0" borderId="21" xfId="0" applyNumberFormat="1" applyFont="1" applyBorder="1" applyAlignment="1" applyProtection="1">
      <alignment horizontal="center"/>
      <protection locked="0"/>
    </xf>
    <xf numFmtId="0" fontId="9" fillId="0" borderId="10" xfId="0" applyFont="1" applyBorder="1" applyProtection="1">
      <protection locked="0"/>
    </xf>
    <xf numFmtId="0" fontId="8" fillId="0" borderId="10" xfId="0" applyFont="1" applyBorder="1" applyProtection="1">
      <protection locked="0"/>
    </xf>
    <xf numFmtId="0" fontId="8" fillId="0" borderId="12" xfId="0" applyFont="1" applyBorder="1" applyProtection="1">
      <protection locked="0"/>
    </xf>
    <xf numFmtId="0" fontId="9" fillId="0" borderId="10" xfId="0" applyFont="1" applyBorder="1" applyAlignment="1" applyProtection="1">
      <alignment horizontal="right"/>
      <protection locked="0"/>
    </xf>
    <xf numFmtId="166" fontId="7" fillId="0" borderId="10" xfId="0" applyNumberFormat="1" applyFont="1" applyBorder="1" applyAlignment="1" applyProtection="1">
      <alignment horizontal="left"/>
      <protection locked="0"/>
    </xf>
    <xf numFmtId="5" fontId="4" fillId="0" borderId="0" xfId="0" applyNumberFormat="1" applyFont="1" applyAlignment="1" applyProtection="1">
      <alignment horizontal="left"/>
      <protection locked="0"/>
    </xf>
    <xf numFmtId="6" fontId="4" fillId="0" borderId="0" xfId="2" applyNumberFormat="1" applyFont="1" applyBorder="1" applyAlignment="1" applyProtection="1">
      <alignment horizontal="centerContinuous"/>
      <protection locked="0"/>
    </xf>
    <xf numFmtId="5" fontId="4" fillId="0" borderId="0" xfId="0" applyNumberFormat="1" applyFont="1" applyProtection="1">
      <protection locked="0"/>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Alignment="1" applyProtection="1">
      <alignment horizontal="right"/>
      <protection locked="0"/>
    </xf>
    <xf numFmtId="167" fontId="4" fillId="0" borderId="10" xfId="0" applyNumberFormat="1" applyFont="1" applyBorder="1" applyProtection="1">
      <protection locked="0"/>
    </xf>
    <xf numFmtId="5" fontId="4" fillId="0" borderId="10" xfId="0" applyNumberFormat="1" applyFont="1" applyBorder="1" applyAlignment="1" applyProtection="1">
      <alignment horizontal="centerContinuous"/>
      <protection locked="0"/>
    </xf>
    <xf numFmtId="0" fontId="0" fillId="0" borderId="0" xfId="0" applyAlignment="1">
      <alignment horizontal="right"/>
    </xf>
    <xf numFmtId="0" fontId="1" fillId="0" borderId="0" xfId="0" applyFont="1" applyAlignment="1">
      <alignment horizontal="left"/>
    </xf>
    <xf numFmtId="0" fontId="0" fillId="0" borderId="24" xfId="0" applyBorder="1" applyAlignment="1">
      <alignment horizontal="center"/>
    </xf>
    <xf numFmtId="0" fontId="0" fillId="0" borderId="25" xfId="0" applyBorder="1"/>
    <xf numFmtId="167" fontId="0" fillId="0" borderId="26" xfId="0" applyNumberFormat="1" applyBorder="1"/>
    <xf numFmtId="0" fontId="10" fillId="0" borderId="0" xfId="0" applyFont="1" applyAlignment="1">
      <alignment horizontal="right"/>
    </xf>
    <xf numFmtId="9" fontId="11" fillId="0" borderId="0" xfId="0" applyNumberFormat="1" applyFont="1"/>
    <xf numFmtId="0" fontId="0" fillId="0" borderId="27" xfId="0" applyBorder="1"/>
    <xf numFmtId="167" fontId="0" fillId="0" borderId="14" xfId="0" applyNumberFormat="1" applyBorder="1"/>
    <xf numFmtId="0" fontId="12" fillId="0" borderId="13" xfId="0" applyFont="1" applyBorder="1" applyAlignment="1" applyProtection="1">
      <alignment horizontal="centerContinuous"/>
      <protection locked="0"/>
    </xf>
    <xf numFmtId="166" fontId="7" fillId="0" borderId="10" xfId="0" applyNumberFormat="1" applyFont="1" applyBorder="1" applyProtection="1">
      <protection locked="0"/>
    </xf>
    <xf numFmtId="0" fontId="4" fillId="0" borderId="22"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0" fillId="0" borderId="20" xfId="0" applyBorder="1"/>
    <xf numFmtId="167" fontId="0" fillId="0" borderId="12" xfId="0" applyNumberFormat="1" applyBorder="1"/>
    <xf numFmtId="166" fontId="11" fillId="0" borderId="0" xfId="0" applyNumberFormat="1" applyFont="1"/>
    <xf numFmtId="0" fontId="4" fillId="0" borderId="16" xfId="0" applyFont="1" applyBorder="1" applyProtection="1">
      <protection locked="0"/>
    </xf>
    <xf numFmtId="5" fontId="4" fillId="0" borderId="17" xfId="0" applyNumberFormat="1" applyFont="1" applyBorder="1" applyAlignment="1" applyProtection="1">
      <alignment horizontal="centerContinuous"/>
      <protection locked="0"/>
    </xf>
    <xf numFmtId="5" fontId="4" fillId="0" borderId="18" xfId="0" applyNumberFormat="1" applyFont="1" applyBorder="1" applyAlignment="1">
      <alignment horizontal="centerContinuous"/>
    </xf>
    <xf numFmtId="5" fontId="4" fillId="0" borderId="17" xfId="0" applyNumberFormat="1" applyFont="1" applyBorder="1" applyAlignment="1" applyProtection="1">
      <alignment horizontal="center"/>
      <protection locked="0"/>
    </xf>
    <xf numFmtId="5" fontId="4" fillId="0" borderId="19" xfId="0" applyNumberFormat="1" applyFont="1" applyBorder="1" applyAlignment="1" applyProtection="1">
      <alignment horizontal="center"/>
      <protection locked="0"/>
    </xf>
    <xf numFmtId="0" fontId="4" fillId="0" borderId="28" xfId="0" applyFont="1" applyBorder="1" applyProtection="1">
      <protection locked="0"/>
    </xf>
    <xf numFmtId="0" fontId="4" fillId="0" borderId="19" xfId="0" applyFont="1" applyBorder="1" applyAlignment="1" applyProtection="1">
      <alignment horizontal="centerContinuous"/>
      <protection locked="0"/>
    </xf>
    <xf numFmtId="0" fontId="5" fillId="0" borderId="10" xfId="0" applyFont="1" applyBorder="1" applyAlignment="1" applyProtection="1">
      <alignment horizontal="centerContinuous"/>
      <protection locked="0"/>
    </xf>
    <xf numFmtId="0" fontId="4" fillId="0" borderId="29" xfId="0" applyFont="1" applyBorder="1" applyProtection="1">
      <protection locked="0"/>
    </xf>
    <xf numFmtId="0" fontId="14" fillId="0" borderId="0" xfId="0" applyFont="1" applyProtection="1">
      <protection locked="0"/>
    </xf>
    <xf numFmtId="0" fontId="13" fillId="0" borderId="0" xfId="0" applyFont="1" applyProtection="1">
      <protection locked="0"/>
    </xf>
    <xf numFmtId="0" fontId="7" fillId="0" borderId="0" xfId="0" applyFont="1" applyAlignment="1" applyProtection="1">
      <alignment horizontal="right"/>
      <protection locked="0"/>
    </xf>
    <xf numFmtId="0" fontId="12" fillId="0" borderId="0" xfId="0" applyFont="1" applyAlignment="1" applyProtection="1">
      <alignment horizontal="centerContinuous"/>
      <protection locked="0"/>
    </xf>
    <xf numFmtId="0" fontId="2" fillId="0" borderId="0" xfId="0" applyFont="1" applyAlignment="1">
      <alignment horizontal="centerContinuous"/>
    </xf>
    <xf numFmtId="0" fontId="6" fillId="0" borderId="0" xfId="0" applyFont="1" applyAlignment="1" applyProtection="1">
      <alignment horizontal="centerContinuous"/>
      <protection locked="0"/>
    </xf>
    <xf numFmtId="5" fontId="4" fillId="0" borderId="30" xfId="0" applyNumberFormat="1" applyFont="1" applyBorder="1" applyAlignment="1">
      <alignment horizontal="centerContinuous"/>
    </xf>
    <xf numFmtId="5" fontId="4" fillId="0" borderId="10" xfId="0" applyNumberFormat="1" applyFont="1" applyBorder="1" applyAlignment="1" applyProtection="1">
      <alignment horizontal="right"/>
      <protection locked="0"/>
    </xf>
    <xf numFmtId="5" fontId="4" fillId="0" borderId="12" xfId="0" applyNumberFormat="1" applyFont="1" applyBorder="1" applyAlignment="1" applyProtection="1">
      <alignment horizontal="centerContinuous"/>
      <protection locked="0"/>
    </xf>
    <xf numFmtId="5" fontId="4" fillId="0" borderId="30" xfId="0" applyNumberFormat="1" applyFont="1" applyBorder="1" applyAlignment="1" applyProtection="1">
      <alignment horizontal="centerContinuous"/>
      <protection locked="0"/>
    </xf>
    <xf numFmtId="5" fontId="4" fillId="0" borderId="31" xfId="0" applyNumberFormat="1" applyFont="1" applyBorder="1" applyAlignment="1" applyProtection="1">
      <alignment horizontal="centerContinuous"/>
      <protection locked="0"/>
    </xf>
    <xf numFmtId="5" fontId="4" fillId="0" borderId="18" xfId="0" applyNumberFormat="1" applyFont="1" applyBorder="1" applyAlignment="1" applyProtection="1">
      <alignment horizontal="centerContinuous"/>
      <protection locked="0"/>
    </xf>
    <xf numFmtId="5" fontId="4" fillId="0" borderId="32" xfId="0" applyNumberFormat="1" applyFont="1" applyBorder="1" applyAlignment="1" applyProtection="1">
      <alignment horizontal="centerContinuous"/>
      <protection locked="0"/>
    </xf>
    <xf numFmtId="165" fontId="17" fillId="2" borderId="10" xfId="0" applyNumberFormat="1" applyFont="1" applyFill="1" applyBorder="1" applyAlignment="1" applyProtection="1">
      <alignment horizontal="center"/>
      <protection locked="0"/>
    </xf>
    <xf numFmtId="5" fontId="17" fillId="2" borderId="10" xfId="0" applyNumberFormat="1" applyFont="1" applyFill="1" applyBorder="1" applyProtection="1">
      <protection locked="0"/>
    </xf>
    <xf numFmtId="5" fontId="17" fillId="2" borderId="10" xfId="0" applyNumberFormat="1" applyFont="1" applyFill="1" applyBorder="1"/>
    <xf numFmtId="0" fontId="17" fillId="2" borderId="10" xfId="0" applyFont="1" applyFill="1" applyBorder="1" applyProtection="1">
      <protection locked="0"/>
    </xf>
    <xf numFmtId="0" fontId="17" fillId="2" borderId="11" xfId="0" applyFont="1" applyFill="1" applyBorder="1" applyProtection="1">
      <protection locked="0"/>
    </xf>
    <xf numFmtId="0" fontId="17" fillId="2" borderId="0" xfId="0" applyFont="1" applyFill="1" applyProtection="1">
      <protection locked="0"/>
    </xf>
    <xf numFmtId="0" fontId="17" fillId="2" borderId="0" xfId="0" applyFont="1" applyFill="1"/>
    <xf numFmtId="0" fontId="17" fillId="2" borderId="15" xfId="0" applyFont="1" applyFill="1" applyBorder="1" applyProtection="1">
      <protection locked="0"/>
    </xf>
    <xf numFmtId="0" fontId="17" fillId="2" borderId="10" xfId="0" applyFont="1" applyFill="1" applyBorder="1"/>
    <xf numFmtId="5" fontId="4" fillId="2" borderId="0" xfId="0" applyNumberFormat="1" applyFont="1" applyFill="1" applyProtection="1">
      <protection locked="0"/>
    </xf>
    <xf numFmtId="5" fontId="4" fillId="2" borderId="0" xfId="0" applyNumberFormat="1" applyFont="1" applyFill="1"/>
    <xf numFmtId="0" fontId="4" fillId="2" borderId="0" xfId="0" applyFont="1" applyFill="1" applyProtection="1">
      <protection locked="0"/>
    </xf>
    <xf numFmtId="0" fontId="4" fillId="2" borderId="15" xfId="0" applyFont="1" applyFill="1" applyBorder="1" applyProtection="1">
      <protection locked="0"/>
    </xf>
    <xf numFmtId="165" fontId="4" fillId="2" borderId="10" xfId="0" applyNumberFormat="1" applyFont="1" applyFill="1" applyBorder="1" applyAlignment="1" applyProtection="1">
      <alignment horizontal="center"/>
      <protection locked="0"/>
    </xf>
    <xf numFmtId="5" fontId="4" fillId="2" borderId="10" xfId="0" applyNumberFormat="1" applyFont="1" applyFill="1" applyBorder="1" applyProtection="1">
      <protection locked="0"/>
    </xf>
    <xf numFmtId="5" fontId="4" fillId="2" borderId="10" xfId="0" applyNumberFormat="1" applyFont="1" applyFill="1" applyBorder="1"/>
    <xf numFmtId="0" fontId="4" fillId="2" borderId="10" xfId="0" applyFont="1" applyFill="1" applyBorder="1" applyProtection="1">
      <protection locked="0"/>
    </xf>
    <xf numFmtId="0" fontId="4" fillId="2" borderId="11" xfId="0" applyFont="1" applyFill="1" applyBorder="1" applyProtection="1">
      <protection locked="0"/>
    </xf>
    <xf numFmtId="0" fontId="4" fillId="2" borderId="0" xfId="0" applyFont="1" applyFill="1"/>
    <xf numFmtId="0" fontId="4" fillId="2" borderId="10" xfId="0" applyFont="1" applyFill="1" applyBorder="1"/>
    <xf numFmtId="0" fontId="18" fillId="0" borderId="0" xfId="0" applyFont="1" applyAlignment="1">
      <alignment horizontal="left"/>
    </xf>
    <xf numFmtId="0" fontId="4" fillId="0" borderId="10" xfId="0" quotePrefix="1" applyFont="1" applyBorder="1" applyProtection="1">
      <protection locked="0"/>
    </xf>
    <xf numFmtId="0" fontId="4" fillId="0" borderId="12" xfId="0" applyFont="1" applyBorder="1" applyAlignment="1" applyProtection="1">
      <alignment horizontal="right"/>
      <protection locked="0"/>
    </xf>
    <xf numFmtId="2" fontId="4" fillId="0" borderId="12" xfId="0" applyNumberFormat="1" applyFont="1" applyBorder="1" applyAlignment="1" applyProtection="1">
      <alignment horizontal="center"/>
      <protection locked="0"/>
    </xf>
    <xf numFmtId="4" fontId="0" fillId="0" borderId="0" xfId="1" applyFont="1"/>
    <xf numFmtId="3" fontId="0" fillId="0" borderId="0" xfId="1" applyNumberFormat="1" applyFont="1"/>
    <xf numFmtId="0" fontId="1" fillId="0" borderId="0" xfId="0" applyFont="1"/>
    <xf numFmtId="168" fontId="0" fillId="0" borderId="0" xfId="0" applyNumberFormat="1"/>
    <xf numFmtId="0" fontId="19" fillId="0" borderId="0" xfId="0" applyFont="1"/>
    <xf numFmtId="0" fontId="18" fillId="0" borderId="0" xfId="0" applyFont="1"/>
    <xf numFmtId="10" fontId="18" fillId="3" borderId="33" xfId="0" applyNumberFormat="1" applyFont="1" applyFill="1" applyBorder="1"/>
    <xf numFmtId="1" fontId="19" fillId="3" borderId="33" xfId="0" applyNumberFormat="1" applyFont="1" applyFill="1" applyBorder="1"/>
    <xf numFmtId="9" fontId="18" fillId="0" borderId="33" xfId="3" applyFont="1" applyFill="1" applyBorder="1"/>
    <xf numFmtId="0" fontId="0" fillId="0" borderId="0" xfId="0" applyAlignment="1">
      <alignment wrapText="1"/>
    </xf>
    <xf numFmtId="10" fontId="0" fillId="0" borderId="0" xfId="0" applyNumberFormat="1"/>
    <xf numFmtId="169" fontId="18" fillId="4" borderId="33" xfId="0" applyNumberFormat="1" applyFont="1" applyFill="1" applyBorder="1"/>
    <xf numFmtId="169" fontId="0" fillId="0" borderId="0" xfId="0" applyNumberFormat="1"/>
    <xf numFmtId="9" fontId="0" fillId="0" borderId="0" xfId="3" applyFont="1"/>
    <xf numFmtId="10" fontId="0" fillId="0" borderId="0" xfId="3" applyNumberFormat="1" applyFont="1"/>
    <xf numFmtId="0" fontId="0" fillId="0" borderId="24" xfId="0" applyBorder="1"/>
    <xf numFmtId="8" fontId="0" fillId="0" borderId="24" xfId="0" applyNumberFormat="1" applyBorder="1"/>
    <xf numFmtId="8" fontId="0" fillId="0" borderId="24" xfId="2" applyFont="1" applyBorder="1"/>
    <xf numFmtId="6" fontId="0" fillId="4" borderId="33" xfId="2" applyNumberFormat="1" applyFont="1" applyFill="1" applyBorder="1"/>
    <xf numFmtId="2" fontId="1" fillId="0" borderId="0" xfId="0" applyNumberFormat="1" applyFont="1"/>
    <xf numFmtId="0" fontId="5" fillId="0" borderId="0" xfId="0" applyFont="1" applyProtection="1">
      <protection locked="0"/>
    </xf>
    <xf numFmtId="0" fontId="24" fillId="4" borderId="24" xfId="0" applyFont="1" applyFill="1" applyBorder="1"/>
    <xf numFmtId="0" fontId="23" fillId="0" borderId="0" xfId="0" applyFont="1"/>
    <xf numFmtId="0" fontId="21" fillId="0" borderId="0" xfId="0" applyFont="1" applyAlignment="1">
      <alignment wrapText="1"/>
    </xf>
    <xf numFmtId="0" fontId="23" fillId="4" borderId="24" xfId="0" applyFont="1" applyFill="1" applyBorder="1"/>
    <xf numFmtId="167" fontId="23" fillId="5" borderId="24" xfId="0" applyNumberFormat="1" applyFont="1" applyFill="1" applyBorder="1" applyAlignment="1">
      <alignment horizontal="center" vertical="center"/>
    </xf>
    <xf numFmtId="0" fontId="22" fillId="0" borderId="0" xfId="0" applyFont="1" applyAlignment="1">
      <alignment horizontal="center" wrapText="1"/>
    </xf>
    <xf numFmtId="0" fontId="19" fillId="4" borderId="33" xfId="0" applyFont="1" applyFill="1" applyBorder="1"/>
    <xf numFmtId="5" fontId="4" fillId="0" borderId="34" xfId="0" applyNumberFormat="1" applyFont="1" applyBorder="1" applyProtection="1">
      <protection locked="0"/>
    </xf>
    <xf numFmtId="5" fontId="4" fillId="0" borderId="30" xfId="0" applyNumberFormat="1" applyFont="1" applyBorder="1" applyProtection="1">
      <protection locked="0"/>
    </xf>
    <xf numFmtId="0" fontId="7" fillId="0" borderId="36"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27"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12" xfId="0" applyFont="1" applyBorder="1" applyAlignment="1" applyProtection="1">
      <alignment horizontal="center"/>
      <protection locked="0"/>
    </xf>
    <xf numFmtId="5" fontId="4" fillId="0" borderId="34" xfId="0" applyNumberFormat="1" applyFont="1" applyBorder="1" applyAlignment="1" applyProtection="1">
      <alignment horizontal="center"/>
      <protection locked="0"/>
    </xf>
    <xf numFmtId="5" fontId="4" fillId="0" borderId="30" xfId="0" applyNumberFormat="1" applyFont="1" applyBorder="1" applyAlignment="1" applyProtection="1">
      <alignment horizontal="center"/>
      <protection locked="0"/>
    </xf>
    <xf numFmtId="5" fontId="4" fillId="0" borderId="34" xfId="0" applyNumberFormat="1" applyFont="1" applyBorder="1" applyAlignment="1">
      <alignment horizontal="center"/>
    </xf>
    <xf numFmtId="5" fontId="4" fillId="0" borderId="30" xfId="0" applyNumberFormat="1" applyFont="1" applyBorder="1" applyAlignment="1">
      <alignment horizontal="center"/>
    </xf>
    <xf numFmtId="5" fontId="4" fillId="0" borderId="0" xfId="0" applyNumberFormat="1" applyFont="1" applyAlignment="1">
      <alignment horizontal="center"/>
    </xf>
    <xf numFmtId="5" fontId="4" fillId="0" borderId="31" xfId="0" applyNumberFormat="1" applyFont="1" applyBorder="1" applyAlignment="1" applyProtection="1">
      <alignment horizontal="center"/>
      <protection locked="0"/>
    </xf>
    <xf numFmtId="5" fontId="4" fillId="0" borderId="35" xfId="0" applyNumberFormat="1" applyFont="1" applyBorder="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366"/>
  <sheetViews>
    <sheetView tabSelected="1" topLeftCell="A342" zoomScale="120" zoomScaleNormal="120" workbookViewId="0">
      <selection activeCell="Q107" sqref="Q107"/>
    </sheetView>
  </sheetViews>
  <sheetFormatPr defaultColWidth="10.5546875" defaultRowHeight="13.2"/>
  <cols>
    <col min="1" max="1" width="3.44140625" style="8" customWidth="1"/>
    <col min="2" max="2" width="1.5546875" style="8" customWidth="1"/>
    <col min="3" max="3" width="5" style="8" customWidth="1"/>
    <col min="4" max="4" width="9.5546875" style="8" customWidth="1"/>
    <col min="5" max="5" width="13.109375" style="8" customWidth="1"/>
    <col min="6" max="6" width="25.88671875" style="8" customWidth="1"/>
    <col min="7" max="7" width="7.109375" style="8" customWidth="1"/>
    <col min="8" max="8" width="6.44140625" style="8" customWidth="1"/>
    <col min="9" max="10" width="5.44140625" style="8" customWidth="1"/>
    <col min="11" max="11" width="3.88671875" style="8" customWidth="1"/>
    <col min="12" max="12" width="9.109375" style="8" customWidth="1"/>
    <col min="13" max="13" width="3.5546875" style="8" customWidth="1"/>
    <col min="14" max="14" width="9.5546875" style="8" customWidth="1"/>
    <col min="15" max="15" width="4.5546875" style="10" customWidth="1"/>
    <col min="16" max="16" width="18.77734375" customWidth="1"/>
    <col min="17" max="17" width="17.88671875" customWidth="1"/>
    <col min="18" max="18" width="11.109375" customWidth="1"/>
    <col min="19" max="16384" width="10.5546875" style="8"/>
  </cols>
  <sheetData>
    <row r="1" spans="1:18" ht="16.5" customHeight="1" thickBot="1">
      <c r="A1" s="1"/>
      <c r="B1" s="2"/>
      <c r="C1" s="2"/>
      <c r="D1" s="3"/>
      <c r="E1" s="4"/>
      <c r="F1" s="5"/>
      <c r="G1" s="6"/>
      <c r="H1" s="7"/>
      <c r="L1" s="9" t="s">
        <v>0</v>
      </c>
      <c r="P1" s="11"/>
    </row>
    <row r="2" spans="1:18" ht="16.2" thickBot="1">
      <c r="A2" s="1" t="s">
        <v>97</v>
      </c>
      <c r="B2" s="2"/>
      <c r="C2" s="2"/>
      <c r="D2" s="2"/>
      <c r="E2" s="1"/>
      <c r="F2" s="5"/>
      <c r="G2" s="6"/>
      <c r="H2" s="7"/>
      <c r="I2" s="12" t="s">
        <v>1</v>
      </c>
      <c r="J2" s="13"/>
      <c r="K2" s="13"/>
      <c r="L2" s="13"/>
      <c r="M2" s="13"/>
      <c r="N2" s="14"/>
      <c r="P2" s="11"/>
    </row>
    <row r="3" spans="1:18" ht="12.75" customHeight="1">
      <c r="A3" s="15" t="s">
        <v>2</v>
      </c>
      <c r="B3" s="16"/>
      <c r="C3" s="16"/>
      <c r="D3" s="16"/>
      <c r="E3" s="16"/>
      <c r="F3" s="16"/>
      <c r="G3" s="16"/>
      <c r="H3" s="16"/>
      <c r="I3" s="17" t="s">
        <v>3</v>
      </c>
      <c r="J3" s="18"/>
      <c r="K3" s="19"/>
      <c r="L3" s="20" t="s">
        <v>4</v>
      </c>
      <c r="M3" s="20"/>
      <c r="N3" s="21"/>
      <c r="P3" s="11"/>
    </row>
    <row r="4" spans="1:18" s="31" customFormat="1">
      <c r="A4" s="22" t="s">
        <v>5</v>
      </c>
      <c r="B4" s="23"/>
      <c r="C4" s="24"/>
      <c r="D4" s="24"/>
      <c r="E4" s="24"/>
      <c r="F4" s="24"/>
      <c r="G4" s="24"/>
      <c r="H4" s="25"/>
      <c r="I4" s="26"/>
      <c r="J4" s="26"/>
      <c r="K4" s="27"/>
      <c r="L4" s="26" t="s">
        <v>6</v>
      </c>
      <c r="M4" s="28"/>
      <c r="N4" s="29" t="s">
        <v>7</v>
      </c>
      <c r="O4" s="30"/>
      <c r="P4"/>
      <c r="Q4"/>
      <c r="R4"/>
    </row>
    <row r="5" spans="1:18" ht="12.75" customHeight="1">
      <c r="A5" s="32" t="s">
        <v>8</v>
      </c>
      <c r="I5" s="33" t="s">
        <v>9</v>
      </c>
      <c r="J5" s="2"/>
      <c r="K5" s="34"/>
      <c r="L5" s="2"/>
      <c r="M5" s="35"/>
      <c r="N5" s="36"/>
    </row>
    <row r="6" spans="1:18" ht="13.8" thickBot="1">
      <c r="A6" s="37" t="s">
        <v>117</v>
      </c>
      <c r="B6" s="23"/>
      <c r="C6" s="38"/>
      <c r="D6" s="38"/>
      <c r="E6" s="38"/>
      <c r="F6" s="38"/>
      <c r="G6" s="38"/>
      <c r="H6" s="38"/>
      <c r="I6" s="39"/>
      <c r="J6" s="40"/>
      <c r="K6" s="41"/>
      <c r="L6" s="42"/>
      <c r="M6" s="43"/>
      <c r="N6" s="44"/>
    </row>
    <row r="7" spans="1:18" ht="13.8" thickBot="1">
      <c r="A7" s="32" t="s">
        <v>10</v>
      </c>
      <c r="E7" s="45"/>
      <c r="G7" s="46"/>
      <c r="H7" s="47" t="s">
        <v>11</v>
      </c>
      <c r="I7" s="2"/>
      <c r="J7" s="48"/>
      <c r="K7" s="177" t="s">
        <v>12</v>
      </c>
      <c r="L7" s="178"/>
      <c r="M7" s="47" t="s">
        <v>12</v>
      </c>
      <c r="N7" s="50"/>
      <c r="P7" s="151" t="s">
        <v>101</v>
      </c>
      <c r="Q7" s="152"/>
      <c r="R7" s="152"/>
    </row>
    <row r="8" spans="1:18" ht="12" thickBot="1">
      <c r="A8" s="32"/>
      <c r="B8" s="45" t="s">
        <v>98</v>
      </c>
      <c r="G8" s="46"/>
      <c r="H8" s="51" t="s">
        <v>13</v>
      </c>
      <c r="I8" s="26"/>
      <c r="J8" s="27"/>
      <c r="K8" s="179" t="s">
        <v>14</v>
      </c>
      <c r="L8" s="180"/>
      <c r="M8" s="47" t="s">
        <v>15</v>
      </c>
      <c r="N8" s="50"/>
      <c r="P8" s="153"/>
      <c r="Q8" s="152"/>
      <c r="R8" s="152"/>
    </row>
    <row r="9" spans="1:18" ht="12.75" customHeight="1">
      <c r="A9" s="52"/>
      <c r="B9" s="53"/>
      <c r="C9" s="54"/>
      <c r="D9" s="38"/>
      <c r="E9" s="38"/>
      <c r="F9" s="38"/>
      <c r="G9" s="55"/>
      <c r="H9" s="56" t="s">
        <v>16</v>
      </c>
      <c r="I9" s="56" t="s">
        <v>17</v>
      </c>
      <c r="J9" s="27" t="s">
        <v>18</v>
      </c>
      <c r="K9" s="181" t="s">
        <v>19</v>
      </c>
      <c r="L9" s="182"/>
      <c r="M9" s="51" t="s">
        <v>20</v>
      </c>
      <c r="N9" s="57"/>
      <c r="P9" s="151" t="s">
        <v>102</v>
      </c>
      <c r="Q9" s="152"/>
      <c r="R9" s="152"/>
    </row>
    <row r="10" spans="1:18" ht="12.75" customHeight="1" thickBot="1">
      <c r="A10" s="58" t="s">
        <v>21</v>
      </c>
      <c r="B10" s="59"/>
      <c r="C10" s="60" t="str">
        <f>A6</f>
        <v>(Type PI name in Year 1 cell A6 and sheet will auto-fill where needed)</v>
      </c>
      <c r="D10" s="61"/>
      <c r="E10" s="61"/>
      <c r="F10" s="61"/>
      <c r="G10" s="62"/>
      <c r="H10" s="63"/>
      <c r="I10" s="63"/>
      <c r="J10" s="146"/>
      <c r="K10" s="183">
        <v>0</v>
      </c>
      <c r="L10" s="184"/>
      <c r="M10" s="64"/>
      <c r="N10" s="65"/>
      <c r="P10" s="151" t="s">
        <v>103</v>
      </c>
      <c r="Q10" s="152"/>
      <c r="R10" s="152"/>
    </row>
    <row r="11" spans="1:18" ht="12.75" customHeight="1" thickBot="1">
      <c r="A11" s="58" t="s">
        <v>22</v>
      </c>
      <c r="B11" s="66"/>
      <c r="C11" s="61"/>
      <c r="D11" s="61"/>
      <c r="E11" s="61"/>
      <c r="F11" s="61"/>
      <c r="G11" s="67"/>
      <c r="H11" s="63"/>
      <c r="I11" s="63"/>
      <c r="J11" s="63"/>
      <c r="K11" s="183">
        <v>0</v>
      </c>
      <c r="L11" s="184"/>
      <c r="M11" s="54"/>
      <c r="N11" s="65"/>
      <c r="P11" s="153"/>
      <c r="Q11" s="152"/>
      <c r="R11" s="152"/>
    </row>
    <row r="12" spans="1:18" ht="12.75" customHeight="1" thickBot="1">
      <c r="A12" s="58" t="s">
        <v>23</v>
      </c>
      <c r="B12" s="61"/>
      <c r="C12" s="61"/>
      <c r="D12" s="61"/>
      <c r="E12" s="61"/>
      <c r="F12" s="61"/>
      <c r="G12" s="67"/>
      <c r="H12" s="63"/>
      <c r="I12" s="63"/>
      <c r="J12" s="63"/>
      <c r="K12" s="183">
        <v>0</v>
      </c>
      <c r="L12" s="184"/>
      <c r="M12" s="54"/>
      <c r="N12" s="65"/>
      <c r="P12" s="151" t="s">
        <v>104</v>
      </c>
      <c r="Q12" s="152"/>
      <c r="R12" s="152"/>
    </row>
    <row r="13" spans="1:18" ht="12.75" customHeight="1" thickBot="1">
      <c r="A13" s="58" t="s">
        <v>24</v>
      </c>
      <c r="B13" s="61"/>
      <c r="C13" s="61"/>
      <c r="D13" s="61"/>
      <c r="E13" s="61"/>
      <c r="F13" s="61"/>
      <c r="G13" s="67"/>
      <c r="H13" s="63"/>
      <c r="I13" s="63"/>
      <c r="J13" s="63"/>
      <c r="K13" s="183">
        <v>0</v>
      </c>
      <c r="L13" s="184"/>
      <c r="M13" s="54"/>
      <c r="N13" s="65"/>
      <c r="P13" s="154">
        <v>5</v>
      </c>
      <c r="Q13" s="152"/>
      <c r="R13" s="152"/>
    </row>
    <row r="14" spans="1:18" ht="12.75" customHeight="1" thickBot="1">
      <c r="A14" s="58" t="s">
        <v>25</v>
      </c>
      <c r="B14" s="61"/>
      <c r="C14" s="61"/>
      <c r="D14" s="61"/>
      <c r="E14" s="61"/>
      <c r="F14" s="61"/>
      <c r="G14" s="67"/>
      <c r="H14" s="63"/>
      <c r="I14" s="63"/>
      <c r="J14" s="63"/>
      <c r="K14" s="183">
        <v>0</v>
      </c>
      <c r="L14" s="184"/>
      <c r="M14" s="54"/>
      <c r="N14" s="65"/>
      <c r="P14" s="151" t="s">
        <v>125</v>
      </c>
      <c r="Q14" s="152"/>
      <c r="R14" s="152"/>
    </row>
    <row r="15" spans="1:18" ht="12.75" customHeight="1" thickBot="1">
      <c r="A15" s="58" t="s">
        <v>26</v>
      </c>
      <c r="B15" s="53"/>
      <c r="C15" s="38" t="s">
        <v>27</v>
      </c>
      <c r="D15" s="38"/>
      <c r="E15" s="38"/>
      <c r="F15" s="38"/>
      <c r="G15" s="55"/>
      <c r="H15" s="63"/>
      <c r="I15" s="63"/>
      <c r="J15" s="63"/>
      <c r="K15" s="183">
        <v>0</v>
      </c>
      <c r="L15" s="184"/>
      <c r="M15" s="54"/>
      <c r="N15" s="65"/>
      <c r="P15" s="158"/>
      <c r="Q15" s="152"/>
      <c r="R15" s="152"/>
    </row>
    <row r="16" spans="1:18" ht="12.75" customHeight="1" thickBot="1">
      <c r="A16" s="58" t="s">
        <v>28</v>
      </c>
      <c r="B16" s="53"/>
      <c r="C16" s="38" t="s">
        <v>29</v>
      </c>
      <c r="D16" s="38"/>
      <c r="E16" s="38"/>
      <c r="F16" s="38"/>
      <c r="G16" s="55"/>
      <c r="H16" s="63"/>
      <c r="I16" s="63"/>
      <c r="J16" s="63"/>
      <c r="K16" s="185">
        <f>SUM(K$10:K$15)</f>
        <v>0</v>
      </c>
      <c r="L16" s="186"/>
      <c r="M16" s="54"/>
      <c r="N16" s="65"/>
      <c r="P16" s="151" t="s">
        <v>105</v>
      </c>
      <c r="Q16" s="152"/>
      <c r="R16" s="152"/>
    </row>
    <row r="17" spans="1:20" ht="12.75" customHeight="1" thickBot="1">
      <c r="A17" s="69" t="s">
        <v>30</v>
      </c>
      <c r="B17" s="38"/>
      <c r="C17" s="38"/>
      <c r="D17" s="38"/>
      <c r="E17" s="38"/>
      <c r="F17" s="38"/>
      <c r="G17" s="55"/>
      <c r="H17" s="123"/>
      <c r="I17" s="123"/>
      <c r="J17" s="123"/>
      <c r="K17" s="124"/>
      <c r="L17" s="125"/>
      <c r="M17" s="126"/>
      <c r="N17" s="127"/>
      <c r="P17" s="174" t="s">
        <v>134</v>
      </c>
      <c r="Q17" s="8"/>
    </row>
    <row r="18" spans="1:20" ht="12.75" customHeight="1" thickBot="1">
      <c r="A18" s="58" t="s">
        <v>31</v>
      </c>
      <c r="B18" s="53"/>
      <c r="C18" s="38" t="s">
        <v>32</v>
      </c>
      <c r="D18" s="38"/>
      <c r="E18" s="38"/>
      <c r="F18" s="38"/>
      <c r="G18" s="55"/>
      <c r="H18" s="63"/>
      <c r="I18" s="63"/>
      <c r="J18" s="63"/>
      <c r="K18" s="183">
        <v>0</v>
      </c>
      <c r="L18" s="184"/>
      <c r="M18" s="54"/>
      <c r="N18" s="65"/>
      <c r="P18" s="155"/>
      <c r="Q18" s="151" t="s">
        <v>110</v>
      </c>
      <c r="R18" s="152"/>
      <c r="T18"/>
    </row>
    <row r="19" spans="1:20" ht="12.75" customHeight="1">
      <c r="A19" s="58" t="s">
        <v>33</v>
      </c>
      <c r="B19" s="53"/>
      <c r="C19" s="38" t="s">
        <v>34</v>
      </c>
      <c r="D19" s="38"/>
      <c r="E19" s="38"/>
      <c r="F19" s="38"/>
      <c r="G19" s="38"/>
      <c r="H19" s="70"/>
      <c r="I19" s="70"/>
      <c r="J19" s="71"/>
      <c r="K19" s="183">
        <v>0</v>
      </c>
      <c r="L19" s="184"/>
      <c r="M19" s="54"/>
      <c r="N19" s="65"/>
      <c r="P19" s="151"/>
      <c r="T19"/>
    </row>
    <row r="20" spans="1:20" ht="12.75" customHeight="1">
      <c r="A20" s="58" t="s">
        <v>35</v>
      </c>
      <c r="B20" s="53"/>
      <c r="C20" s="61" t="s">
        <v>36</v>
      </c>
      <c r="D20" s="38"/>
      <c r="E20" s="38"/>
      <c r="F20" s="72"/>
      <c r="G20" s="38"/>
      <c r="H20" s="73"/>
      <c r="I20" s="73"/>
      <c r="J20" s="74"/>
      <c r="K20" s="183">
        <v>0</v>
      </c>
      <c r="L20" s="184"/>
      <c r="M20" s="54"/>
      <c r="N20" s="65"/>
      <c r="T20"/>
    </row>
    <row r="21" spans="1:20" ht="12.75" customHeight="1">
      <c r="A21" s="58" t="s">
        <v>37</v>
      </c>
      <c r="B21" s="53"/>
      <c r="C21" s="61" t="s">
        <v>38</v>
      </c>
      <c r="D21" s="38"/>
      <c r="E21" s="38"/>
      <c r="F21" s="72"/>
      <c r="G21" s="38"/>
      <c r="H21" s="73"/>
      <c r="I21" s="73"/>
      <c r="J21" s="74"/>
      <c r="K21" s="183">
        <v>0</v>
      </c>
      <c r="L21" s="184"/>
      <c r="M21" s="54"/>
      <c r="N21" s="65"/>
      <c r="P21" s="151"/>
      <c r="T21"/>
    </row>
    <row r="22" spans="1:20" ht="12.75" customHeight="1">
      <c r="A22" s="58" t="s">
        <v>39</v>
      </c>
      <c r="B22" s="53"/>
      <c r="C22" s="61" t="s">
        <v>40</v>
      </c>
      <c r="D22" s="38"/>
      <c r="E22" s="38"/>
      <c r="F22" s="38"/>
      <c r="G22" s="38"/>
      <c r="H22" s="38"/>
      <c r="I22" s="38"/>
      <c r="J22" s="55"/>
      <c r="K22" s="183">
        <v>0</v>
      </c>
      <c r="L22" s="184"/>
      <c r="M22" s="54"/>
      <c r="N22" s="65"/>
      <c r="P22" s="151"/>
      <c r="S22" s="166"/>
      <c r="T22"/>
    </row>
    <row r="23" spans="1:20" ht="12.75" customHeight="1">
      <c r="A23" s="58" t="s">
        <v>26</v>
      </c>
      <c r="B23" s="53"/>
      <c r="C23" s="61" t="s">
        <v>41</v>
      </c>
      <c r="D23" s="38"/>
      <c r="E23" s="38"/>
      <c r="F23" s="38"/>
      <c r="G23" s="38"/>
      <c r="H23" s="38"/>
      <c r="I23" s="38"/>
      <c r="J23" s="55"/>
      <c r="K23" s="183">
        <v>0</v>
      </c>
      <c r="L23" s="184"/>
      <c r="M23" s="54"/>
      <c r="N23" s="65"/>
      <c r="P23" s="151"/>
      <c r="S23" s="167"/>
      <c r="T23"/>
    </row>
    <row r="24" spans="1:20" ht="12.75" customHeight="1" thickBot="1">
      <c r="A24" s="58"/>
      <c r="B24" s="61" t="s">
        <v>42</v>
      </c>
      <c r="C24" s="61"/>
      <c r="D24" s="38"/>
      <c r="E24" s="38"/>
      <c r="F24" s="38"/>
      <c r="G24" s="38"/>
      <c r="H24" s="38"/>
      <c r="I24" s="38"/>
      <c r="J24" s="55"/>
      <c r="K24" s="185">
        <f>K$16+SUM(K$18:K$23)</f>
        <v>0</v>
      </c>
      <c r="L24" s="186"/>
      <c r="M24" s="54"/>
      <c r="N24" s="65"/>
      <c r="P24" s="151" t="s">
        <v>107</v>
      </c>
      <c r="T24"/>
    </row>
    <row r="25" spans="1:20" ht="12.75" customHeight="1" thickBot="1">
      <c r="A25" s="69" t="s">
        <v>43</v>
      </c>
      <c r="B25" s="38"/>
      <c r="C25" s="38"/>
      <c r="D25" s="38"/>
      <c r="E25" s="38"/>
      <c r="F25" s="38"/>
      <c r="G25" s="75" t="s">
        <v>44</v>
      </c>
      <c r="H25" s="76"/>
      <c r="I25" s="26"/>
      <c r="J25" s="55"/>
      <c r="K25" s="185">
        <f>ROUND((((K24-K21-K20-P25)*P28)+(P25*P29)+R35),0)</f>
        <v>0</v>
      </c>
      <c r="L25" s="186"/>
      <c r="M25" s="54"/>
      <c r="N25" s="65"/>
      <c r="P25" s="165"/>
      <c r="T25"/>
    </row>
    <row r="26" spans="1:20" ht="12.75" customHeight="1">
      <c r="A26" s="69"/>
      <c r="B26" s="61" t="s">
        <v>45</v>
      </c>
      <c r="C26" s="38"/>
      <c r="D26" s="38"/>
      <c r="E26" s="38"/>
      <c r="F26" s="38"/>
      <c r="G26" s="38"/>
      <c r="H26" s="38"/>
      <c r="I26" s="38"/>
      <c r="J26" s="55"/>
      <c r="K26" s="185">
        <f>K$24+K$25</f>
        <v>0</v>
      </c>
      <c r="L26" s="186"/>
      <c r="M26" s="54"/>
      <c r="N26" s="65"/>
      <c r="T26"/>
    </row>
    <row r="27" spans="1:20" ht="12.75" customHeight="1">
      <c r="A27" s="32" t="s">
        <v>46</v>
      </c>
      <c r="J27" s="46"/>
      <c r="K27" s="128"/>
      <c r="L27" s="129"/>
      <c r="M27" s="128"/>
      <c r="N27" s="130"/>
      <c r="P27" t="s">
        <v>106</v>
      </c>
      <c r="T27" s="150"/>
    </row>
    <row r="28" spans="1:20" ht="12.75" customHeight="1">
      <c r="A28" s="32"/>
      <c r="B28" s="77"/>
      <c r="C28" s="143"/>
      <c r="H28" s="78"/>
      <c r="I28" s="2"/>
      <c r="J28" s="46"/>
      <c r="K28" s="128"/>
      <c r="L28" s="129"/>
      <c r="M28" s="128"/>
      <c r="N28" s="130"/>
      <c r="P28" s="160">
        <v>0.41</v>
      </c>
      <c r="Q28" t="s">
        <v>108</v>
      </c>
      <c r="T28" s="150"/>
    </row>
    <row r="29" spans="1:20" ht="12.75" customHeight="1">
      <c r="A29" s="32"/>
      <c r="B29" s="79"/>
      <c r="J29" s="46"/>
      <c r="K29" s="128"/>
      <c r="L29" s="129"/>
      <c r="M29" s="128"/>
      <c r="N29" s="130"/>
      <c r="P29" s="161">
        <v>7.6499999999999999E-2</v>
      </c>
      <c r="Q29" t="s">
        <v>109</v>
      </c>
      <c r="T29" s="150"/>
    </row>
    <row r="30" spans="1:20" ht="12.75" customHeight="1">
      <c r="A30" s="32"/>
      <c r="J30" s="46"/>
      <c r="K30" s="128"/>
      <c r="L30" s="129"/>
      <c r="M30" s="128"/>
      <c r="N30" s="130"/>
      <c r="P30" s="151"/>
      <c r="T30" s="150"/>
    </row>
    <row r="31" spans="1:20" ht="18.600000000000001" customHeight="1">
      <c r="A31" s="69"/>
      <c r="B31" s="61" t="s">
        <v>47</v>
      </c>
      <c r="C31" s="38"/>
      <c r="D31" s="38"/>
      <c r="E31" s="38"/>
      <c r="F31" s="38"/>
      <c r="G31" s="38"/>
      <c r="H31" s="38"/>
      <c r="I31" s="38"/>
      <c r="J31" s="55"/>
      <c r="K31" s="183">
        <v>0</v>
      </c>
      <c r="L31" s="184"/>
      <c r="M31" s="80"/>
      <c r="N31" s="81"/>
      <c r="P31" s="170" t="s">
        <v>126</v>
      </c>
      <c r="Q31" s="173" t="s">
        <v>135</v>
      </c>
      <c r="R31" s="169"/>
      <c r="T31" s="150"/>
    </row>
    <row r="32" spans="1:20" ht="12.75" customHeight="1">
      <c r="A32" s="69" t="s">
        <v>48</v>
      </c>
      <c r="B32" s="38"/>
      <c r="C32" s="38"/>
      <c r="D32" s="38" t="s">
        <v>124</v>
      </c>
      <c r="E32" s="38"/>
      <c r="F32" s="38"/>
      <c r="G32" s="38"/>
      <c r="H32" s="38"/>
      <c r="I32" s="38"/>
      <c r="J32" s="55"/>
      <c r="K32" s="183">
        <v>0</v>
      </c>
      <c r="L32" s="184"/>
      <c r="M32" s="54"/>
      <c r="N32" s="65"/>
      <c r="P32" s="168" t="s">
        <v>127</v>
      </c>
      <c r="Q32" s="171"/>
      <c r="R32" s="172">
        <f>(Q32/12)*2162</f>
        <v>0</v>
      </c>
      <c r="T32" s="150"/>
    </row>
    <row r="33" spans="1:20" ht="12.75" customHeight="1">
      <c r="A33" s="69"/>
      <c r="B33" s="38"/>
      <c r="C33" s="38"/>
      <c r="D33" s="38" t="s">
        <v>49</v>
      </c>
      <c r="E33" s="38"/>
      <c r="F33" s="38"/>
      <c r="G33" s="38"/>
      <c r="H33" s="38"/>
      <c r="I33" s="38"/>
      <c r="J33" s="55"/>
      <c r="K33" s="183">
        <v>0</v>
      </c>
      <c r="L33" s="184"/>
      <c r="M33" s="54"/>
      <c r="N33" s="65"/>
      <c r="P33" s="168" t="s">
        <v>128</v>
      </c>
      <c r="Q33" s="171"/>
      <c r="R33" s="172">
        <f>(Q33/9)*1730</f>
        <v>0</v>
      </c>
      <c r="T33" s="150"/>
    </row>
    <row r="34" spans="1:20" ht="12.75" customHeight="1">
      <c r="A34" s="32" t="s">
        <v>50</v>
      </c>
      <c r="J34" s="46"/>
      <c r="K34" s="128"/>
      <c r="L34" s="129"/>
      <c r="M34" s="128"/>
      <c r="N34" s="130"/>
      <c r="P34" s="168" t="s">
        <v>129</v>
      </c>
      <c r="Q34" s="171"/>
      <c r="R34" s="172">
        <f>(Q34/3)*432</f>
        <v>0</v>
      </c>
      <c r="T34" s="150"/>
    </row>
    <row r="35" spans="1:20" ht="12.75" customHeight="1">
      <c r="A35" s="32"/>
      <c r="B35" s="8" t="s">
        <v>51</v>
      </c>
      <c r="D35" s="82"/>
      <c r="E35" s="83"/>
      <c r="J35" s="46"/>
      <c r="K35" s="128"/>
      <c r="L35" s="129"/>
      <c r="M35" s="128"/>
      <c r="N35" s="130"/>
      <c r="P35" s="169"/>
      <c r="Q35" s="169"/>
      <c r="R35" s="172">
        <f>SUM(R32:R34)</f>
        <v>0</v>
      </c>
      <c r="T35" s="150"/>
    </row>
    <row r="36" spans="1:20" ht="12.75" customHeight="1">
      <c r="A36" s="32"/>
      <c r="B36" s="8" t="s">
        <v>52</v>
      </c>
      <c r="E36" s="83"/>
      <c r="J36" s="46"/>
      <c r="K36" s="128"/>
      <c r="L36" s="129"/>
      <c r="M36" s="128"/>
      <c r="N36" s="130"/>
      <c r="T36" s="150"/>
    </row>
    <row r="37" spans="1:20" ht="12.75" customHeight="1">
      <c r="A37" s="32"/>
      <c r="B37" s="8" t="s">
        <v>53</v>
      </c>
      <c r="E37" s="83"/>
      <c r="J37" s="46"/>
      <c r="K37" s="128"/>
      <c r="L37" s="129"/>
      <c r="M37" s="128"/>
      <c r="N37" s="130"/>
      <c r="T37" s="150"/>
    </row>
    <row r="38" spans="1:20" ht="12.75" customHeight="1">
      <c r="A38" s="32"/>
      <c r="B38" s="8" t="s">
        <v>54</v>
      </c>
      <c r="E38" s="83"/>
      <c r="J38" s="46"/>
      <c r="K38" s="128"/>
      <c r="L38" s="129"/>
      <c r="M38" s="128"/>
      <c r="N38" s="130"/>
      <c r="T38" s="150"/>
    </row>
    <row r="39" spans="1:20" ht="12.75" customHeight="1">
      <c r="A39" s="69"/>
      <c r="B39" s="38"/>
      <c r="C39" s="38"/>
      <c r="D39" s="38"/>
      <c r="E39" s="38"/>
      <c r="F39" s="38"/>
      <c r="G39" s="38"/>
      <c r="H39" s="38"/>
      <c r="I39" s="38"/>
      <c r="J39" s="55"/>
      <c r="K39" s="126"/>
      <c r="L39" s="131"/>
      <c r="M39" s="126"/>
      <c r="N39" s="127"/>
      <c r="T39" s="150"/>
    </row>
    <row r="40" spans="1:20" ht="12.75" customHeight="1">
      <c r="A40" s="58" t="s">
        <v>100</v>
      </c>
      <c r="B40" s="61"/>
      <c r="C40" s="61"/>
      <c r="D40" s="38"/>
      <c r="E40" s="38"/>
      <c r="F40" s="144"/>
      <c r="G40" s="38"/>
      <c r="H40" s="38"/>
      <c r="I40" s="38"/>
      <c r="J40" s="145" t="s">
        <v>99</v>
      </c>
      <c r="K40" s="183">
        <f>SUM($E$35:$E$38)</f>
        <v>0</v>
      </c>
      <c r="L40" s="184"/>
      <c r="M40" s="54"/>
      <c r="N40" s="65"/>
      <c r="T40" s="150"/>
    </row>
    <row r="41" spans="1:20" ht="12.75" customHeight="1">
      <c r="A41" s="69" t="s">
        <v>55</v>
      </c>
      <c r="B41" s="38"/>
      <c r="C41" s="38"/>
      <c r="D41" s="38"/>
      <c r="E41" s="38"/>
      <c r="F41" s="38"/>
      <c r="G41" s="38"/>
      <c r="H41" s="38"/>
      <c r="I41" s="38"/>
      <c r="J41" s="55"/>
      <c r="K41" s="126"/>
      <c r="L41" s="131"/>
      <c r="M41" s="126"/>
      <c r="N41" s="127"/>
      <c r="T41" s="150"/>
    </row>
    <row r="42" spans="1:20" ht="12.75" customHeight="1">
      <c r="A42" s="69"/>
      <c r="B42" s="38" t="s">
        <v>56</v>
      </c>
      <c r="C42" s="38"/>
      <c r="D42" s="38"/>
      <c r="E42" s="38"/>
      <c r="F42" s="38"/>
      <c r="G42" s="38"/>
      <c r="H42" s="38"/>
      <c r="I42" s="38"/>
      <c r="J42" s="55"/>
      <c r="K42" s="183">
        <v>0</v>
      </c>
      <c r="L42" s="184"/>
      <c r="M42" s="54"/>
      <c r="N42" s="65"/>
      <c r="T42" s="150"/>
    </row>
    <row r="43" spans="1:20" ht="12.75" customHeight="1">
      <c r="A43" s="69"/>
      <c r="B43" s="38" t="s">
        <v>57</v>
      </c>
      <c r="C43" s="38"/>
      <c r="D43" s="38"/>
      <c r="E43" s="38"/>
      <c r="F43" s="38"/>
      <c r="G43" s="38"/>
      <c r="H43" s="38"/>
      <c r="I43" s="38"/>
      <c r="J43" s="55"/>
      <c r="K43" s="183">
        <v>0</v>
      </c>
      <c r="L43" s="184"/>
      <c r="M43" s="54"/>
      <c r="N43" s="65"/>
      <c r="T43" s="150"/>
    </row>
    <row r="44" spans="1:20" ht="12.75" customHeight="1">
      <c r="A44" s="69"/>
      <c r="B44" s="38" t="s">
        <v>58</v>
      </c>
      <c r="C44" s="38"/>
      <c r="D44" s="38"/>
      <c r="E44" s="38"/>
      <c r="F44" s="38"/>
      <c r="G44" s="38"/>
      <c r="H44" s="38"/>
      <c r="I44" s="38"/>
      <c r="J44" s="55"/>
      <c r="K44" s="183">
        <v>0</v>
      </c>
      <c r="L44" s="184"/>
      <c r="M44" s="54"/>
      <c r="N44" s="65"/>
      <c r="P44" s="86" t="s">
        <v>63</v>
      </c>
      <c r="R44" s="85" t="s">
        <v>61</v>
      </c>
      <c r="T44" s="150"/>
    </row>
    <row r="45" spans="1:20" ht="12.75" customHeight="1">
      <c r="A45" s="69"/>
      <c r="B45" s="38" t="s">
        <v>59</v>
      </c>
      <c r="C45" s="38"/>
      <c r="D45" s="38"/>
      <c r="E45" s="38"/>
      <c r="F45" s="38"/>
      <c r="G45" s="38"/>
      <c r="H45" s="38"/>
      <c r="I45" s="38"/>
      <c r="J45" s="55"/>
      <c r="K45" s="183">
        <v>0</v>
      </c>
      <c r="L45" s="184"/>
      <c r="M45" s="54"/>
      <c r="N45" s="65"/>
      <c r="P45" s="86" t="s">
        <v>66</v>
      </c>
      <c r="Q45" s="87" t="s">
        <v>67</v>
      </c>
      <c r="R45" s="85" t="s">
        <v>64</v>
      </c>
      <c r="T45" s="150"/>
    </row>
    <row r="46" spans="1:20" ht="12.75" customHeight="1">
      <c r="A46" s="69"/>
      <c r="B46" s="38" t="s">
        <v>60</v>
      </c>
      <c r="C46" s="38"/>
      <c r="D46" s="38"/>
      <c r="E46" s="38"/>
      <c r="F46" s="38"/>
      <c r="G46" s="38"/>
      <c r="H46" s="38"/>
      <c r="I46" s="38"/>
      <c r="J46" s="55"/>
      <c r="K46" s="183">
        <f>SUM(Q46:Q49)</f>
        <v>0</v>
      </c>
      <c r="L46" s="184"/>
      <c r="M46" s="54"/>
      <c r="N46" s="65"/>
      <c r="P46" s="88" t="s">
        <v>70</v>
      </c>
      <c r="Q46" s="89"/>
      <c r="R46" s="85" t="s">
        <v>68</v>
      </c>
      <c r="T46" s="150"/>
    </row>
    <row r="47" spans="1:20" ht="12.75" customHeight="1">
      <c r="A47" s="69"/>
      <c r="B47" s="38" t="s">
        <v>62</v>
      </c>
      <c r="C47" s="38"/>
      <c r="D47" s="38"/>
      <c r="E47" s="38"/>
      <c r="F47" s="72"/>
      <c r="G47" s="38"/>
      <c r="H47" s="38"/>
      <c r="I47" s="38"/>
      <c r="J47" s="55"/>
      <c r="K47" s="183">
        <f>Q53+Q54</f>
        <v>0</v>
      </c>
      <c r="L47" s="184"/>
      <c r="M47" s="54"/>
      <c r="N47" s="65"/>
      <c r="P47" s="92" t="s">
        <v>72</v>
      </c>
      <c r="Q47" s="93"/>
      <c r="R47" s="90">
        <f>IF(Q46&gt;=25000,"25,000",Q46)</f>
        <v>0</v>
      </c>
      <c r="T47" s="150"/>
    </row>
    <row r="48" spans="1:20" ht="12.75" customHeight="1">
      <c r="A48" s="69"/>
      <c r="B48" s="38"/>
      <c r="C48" s="38" t="s">
        <v>65</v>
      </c>
      <c r="D48" s="38"/>
      <c r="E48" s="38"/>
      <c r="F48" s="38"/>
      <c r="G48" s="38"/>
      <c r="H48" s="38"/>
      <c r="I48" s="38"/>
      <c r="J48" s="55"/>
      <c r="K48" s="183">
        <f>SUM(K$42:K$47)</f>
        <v>0</v>
      </c>
      <c r="L48" s="184"/>
      <c r="M48" s="54"/>
      <c r="N48" s="65"/>
      <c r="P48" s="92" t="s">
        <v>74</v>
      </c>
      <c r="Q48" s="93"/>
      <c r="R48" s="90">
        <f>IF(Q47&gt;=25000,"25,000",Q47)</f>
        <v>0</v>
      </c>
      <c r="T48" s="150"/>
    </row>
    <row r="49" spans="1:20" ht="12.75" customHeight="1">
      <c r="A49" s="69" t="s">
        <v>69</v>
      </c>
      <c r="B49" s="38"/>
      <c r="C49" s="38"/>
      <c r="D49" s="38"/>
      <c r="E49" s="38"/>
      <c r="F49" s="38"/>
      <c r="G49" s="38"/>
      <c r="H49" s="38"/>
      <c r="I49" s="38"/>
      <c r="J49" s="55"/>
      <c r="K49" s="183">
        <f>K$26+SUM(K$31:K$33)+K$40+K$48</f>
        <v>0</v>
      </c>
      <c r="L49" s="184"/>
      <c r="M49" s="54"/>
      <c r="N49" s="65"/>
      <c r="P49" s="98" t="s">
        <v>77</v>
      </c>
      <c r="Q49" s="99"/>
      <c r="R49" s="90">
        <f>IF(Q48&gt;=25000,"25,000",Q48)</f>
        <v>0</v>
      </c>
      <c r="T49" s="150"/>
    </row>
    <row r="50" spans="1:20" ht="12.75" customHeight="1">
      <c r="A50" s="32" t="s">
        <v>71</v>
      </c>
      <c r="J50" s="46"/>
      <c r="K50" s="132"/>
      <c r="L50" s="133"/>
      <c r="M50" s="134"/>
      <c r="N50" s="135"/>
      <c r="O50" s="91"/>
      <c r="R50" s="90">
        <f>IF(Q49&gt;=25000,"25,000",Q49)</f>
        <v>0</v>
      </c>
      <c r="T50" s="150"/>
    </row>
    <row r="51" spans="1:20" ht="12.75" customHeight="1">
      <c r="A51" s="94" t="s">
        <v>73</v>
      </c>
      <c r="B51" s="2"/>
      <c r="C51" s="2"/>
      <c r="D51" s="2"/>
      <c r="E51" s="5"/>
      <c r="F51" s="5"/>
      <c r="G51" s="187">
        <f>IF(R47&gt;25000,"25000",R47)+IF(R48&gt;25000,"25000",R48)+IF(R49&gt;25000,"25000",R49)+IF(R50&gt;25000,"25000",R50)+K49-K31-K40-K46-Q53</f>
        <v>0</v>
      </c>
      <c r="H51" s="187"/>
      <c r="J51" s="46"/>
      <c r="K51" s="132"/>
      <c r="L51" s="133"/>
      <c r="M51" s="134"/>
      <c r="N51" s="135"/>
      <c r="O51" s="91"/>
      <c r="P51" s="149" t="s">
        <v>114</v>
      </c>
      <c r="T51" s="150"/>
    </row>
    <row r="52" spans="1:20" ht="12.75" customHeight="1">
      <c r="A52" s="69" t="s">
        <v>75</v>
      </c>
      <c r="B52" s="38"/>
      <c r="C52" s="38"/>
      <c r="D52" s="38"/>
      <c r="E52" s="38"/>
      <c r="F52" s="38"/>
      <c r="G52" s="75" t="s">
        <v>76</v>
      </c>
      <c r="H52" s="95">
        <f>IF(P17="Research On-Campus",0.5,IF(P17="Public Service On-Campus",0.35,IF(P17="Instruction On-Campus",0.49,IF(P17="Off-Campus",0.26,P18))))</f>
        <v>0.5</v>
      </c>
      <c r="I52" s="38"/>
      <c r="J52" s="55"/>
      <c r="K52" s="183">
        <f>ROUND($G$51 * $H$52,0)</f>
        <v>0</v>
      </c>
      <c r="L52" s="184"/>
      <c r="M52" s="96"/>
      <c r="N52" s="97"/>
      <c r="O52" s="91"/>
      <c r="P52" s="149" t="s">
        <v>113</v>
      </c>
      <c r="Q52" s="162" t="s">
        <v>67</v>
      </c>
      <c r="T52" s="150"/>
    </row>
    <row r="53" spans="1:20" ht="12.75" customHeight="1">
      <c r="A53" s="69" t="s">
        <v>78</v>
      </c>
      <c r="B53" s="38"/>
      <c r="C53" s="38"/>
      <c r="D53" s="38"/>
      <c r="E53" s="38"/>
      <c r="F53" s="38"/>
      <c r="G53" s="38"/>
      <c r="H53" s="38"/>
      <c r="I53" s="38"/>
      <c r="J53" s="55"/>
      <c r="K53" s="183">
        <f>K$49+K$52</f>
        <v>0</v>
      </c>
      <c r="L53" s="184"/>
      <c r="M53" s="54"/>
      <c r="N53" s="65"/>
      <c r="O53" s="91"/>
      <c r="P53" s="162" t="s">
        <v>111</v>
      </c>
      <c r="Q53" s="163">
        <f>ROUND(K20*R54,0)</f>
        <v>0</v>
      </c>
      <c r="T53" s="150"/>
    </row>
    <row r="54" spans="1:20" ht="12.75" customHeight="1">
      <c r="A54" s="69" t="s">
        <v>79</v>
      </c>
      <c r="B54" s="38"/>
      <c r="C54" s="38"/>
      <c r="D54" s="38"/>
      <c r="E54" s="38"/>
      <c r="F54" s="38"/>
      <c r="G54" s="38"/>
      <c r="H54" s="38"/>
      <c r="I54" s="38"/>
      <c r="J54" s="55"/>
      <c r="K54" s="183"/>
      <c r="L54" s="184"/>
      <c r="M54" s="54"/>
      <c r="N54" s="65"/>
      <c r="O54" s="100"/>
      <c r="P54" s="162" t="s">
        <v>112</v>
      </c>
      <c r="Q54" s="164">
        <v>0</v>
      </c>
      <c r="R54" s="160">
        <v>0.38</v>
      </c>
      <c r="T54" s="150"/>
    </row>
    <row r="55" spans="1:20" ht="12.75" customHeight="1" thickBot="1">
      <c r="A55" s="101" t="s">
        <v>80</v>
      </c>
      <c r="B55" s="40"/>
      <c r="C55" s="40"/>
      <c r="D55" s="40"/>
      <c r="E55" s="40"/>
      <c r="F55" s="40"/>
      <c r="G55" s="40"/>
      <c r="H55" s="40"/>
      <c r="I55" s="40"/>
      <c r="J55" s="41"/>
      <c r="K55" s="188">
        <f>K$53-K$54</f>
        <v>0</v>
      </c>
      <c r="L55" s="189"/>
      <c r="M55" s="104"/>
      <c r="N55" s="105"/>
      <c r="O55" s="91"/>
      <c r="T55" s="150"/>
    </row>
    <row r="56" spans="1:20" ht="12.75" customHeight="1" thickBot="1">
      <c r="A56" s="101" t="s">
        <v>81</v>
      </c>
      <c r="B56" s="40"/>
      <c r="C56" s="40"/>
      <c r="D56" s="40"/>
      <c r="E56" s="40"/>
      <c r="F56" s="102">
        <v>0</v>
      </c>
      <c r="G56" s="106" t="s">
        <v>82</v>
      </c>
      <c r="H56" s="40"/>
      <c r="I56" s="40"/>
      <c r="J56" s="42"/>
      <c r="K56" s="102"/>
      <c r="L56" s="102"/>
      <c r="M56" s="42"/>
      <c r="N56" s="107"/>
      <c r="T56" s="150"/>
    </row>
    <row r="57" spans="1:20" ht="12.75" customHeight="1">
      <c r="A57" s="32" t="s">
        <v>121</v>
      </c>
      <c r="F57" s="46"/>
      <c r="G57" s="36" t="s">
        <v>83</v>
      </c>
      <c r="H57" s="108" t="s">
        <v>1</v>
      </c>
      <c r="I57" s="26"/>
      <c r="J57" s="26"/>
      <c r="K57" s="26"/>
      <c r="L57" s="26"/>
      <c r="M57" s="26"/>
      <c r="N57" s="57"/>
      <c r="T57" s="150"/>
    </row>
    <row r="58" spans="1:20" ht="12.75" customHeight="1">
      <c r="A58" s="69" t="str">
        <f>A6</f>
        <v>(Type PI name in Year 1 cell A6 and sheet will auto-fill where needed)</v>
      </c>
      <c r="B58" s="38"/>
      <c r="C58" s="38"/>
      <c r="D58" s="38"/>
      <c r="E58" s="38"/>
      <c r="F58" s="61"/>
      <c r="G58" s="109"/>
      <c r="H58" s="26" t="s">
        <v>84</v>
      </c>
      <c r="I58" s="26"/>
      <c r="J58" s="26"/>
      <c r="K58" s="26"/>
      <c r="L58" s="26"/>
      <c r="M58" s="26"/>
      <c r="N58" s="57"/>
      <c r="T58" s="150"/>
    </row>
    <row r="59" spans="1:20" ht="12.75" customHeight="1">
      <c r="A59" s="32" t="s">
        <v>122</v>
      </c>
      <c r="F59" s="46"/>
      <c r="G59" s="36" t="s">
        <v>83</v>
      </c>
      <c r="H59" s="2" t="s">
        <v>85</v>
      </c>
      <c r="I59" s="35"/>
      <c r="J59" s="2" t="s">
        <v>86</v>
      </c>
      <c r="K59" s="2"/>
      <c r="L59" s="35"/>
      <c r="M59" s="2" t="s">
        <v>87</v>
      </c>
      <c r="N59" s="50"/>
      <c r="T59" s="150"/>
    </row>
    <row r="60" spans="1:20" ht="12.75" customHeight="1" thickBot="1">
      <c r="A60" s="101" t="s">
        <v>123</v>
      </c>
      <c r="B60" s="40"/>
      <c r="C60" s="40"/>
      <c r="D60" s="40"/>
      <c r="E60" s="40"/>
      <c r="F60" s="41"/>
      <c r="G60" s="44"/>
      <c r="H60" s="40"/>
      <c r="I60" s="41"/>
      <c r="J60" s="40"/>
      <c r="K60" s="40"/>
      <c r="L60" s="41"/>
      <c r="M60" s="40"/>
      <c r="N60" s="44"/>
      <c r="T60" s="150"/>
    </row>
    <row r="61" spans="1:20" ht="12.75" customHeight="1">
      <c r="A61" s="110" t="s">
        <v>115</v>
      </c>
      <c r="B61" s="110"/>
      <c r="C61" s="110"/>
      <c r="D61" s="110"/>
      <c r="E61" s="111"/>
      <c r="F61" s="110"/>
      <c r="G61"/>
      <c r="N61" s="112"/>
      <c r="T61" s="150"/>
    </row>
    <row r="62" spans="1:20" ht="16.5" customHeight="1" thickBot="1">
      <c r="A62" s="1"/>
      <c r="B62" s="2"/>
      <c r="C62" s="2"/>
      <c r="D62" s="3"/>
      <c r="E62" s="4"/>
      <c r="F62" s="5"/>
      <c r="G62" s="6"/>
      <c r="H62" s="7"/>
      <c r="L62" s="9" t="s">
        <v>88</v>
      </c>
      <c r="T62" s="150"/>
    </row>
    <row r="63" spans="1:20" ht="16.2" thickBot="1">
      <c r="A63" s="1" t="s">
        <v>97</v>
      </c>
      <c r="B63" s="2"/>
      <c r="C63" s="2"/>
      <c r="D63" s="2"/>
      <c r="E63" s="1"/>
      <c r="F63" s="5"/>
      <c r="G63" s="6"/>
      <c r="H63" s="7"/>
      <c r="I63" s="12" t="s">
        <v>1</v>
      </c>
      <c r="J63" s="13"/>
      <c r="K63" s="13"/>
      <c r="L63" s="13"/>
      <c r="M63" s="13"/>
      <c r="N63" s="14"/>
      <c r="T63" s="150"/>
    </row>
    <row r="64" spans="1:20" ht="12.75" customHeight="1">
      <c r="A64" s="15" t="s">
        <v>2</v>
      </c>
      <c r="B64" s="16"/>
      <c r="C64" s="16"/>
      <c r="D64" s="16"/>
      <c r="E64" s="16"/>
      <c r="F64" s="16"/>
      <c r="G64" s="16"/>
      <c r="H64" s="16"/>
      <c r="I64" s="17" t="s">
        <v>3</v>
      </c>
      <c r="J64" s="18"/>
      <c r="K64" s="19"/>
      <c r="L64" s="20" t="s">
        <v>4</v>
      </c>
      <c r="M64" s="20"/>
      <c r="N64" s="21"/>
      <c r="T64" s="150"/>
    </row>
    <row r="65" spans="1:20" ht="12.75" customHeight="1">
      <c r="A65" s="22" t="s">
        <v>5</v>
      </c>
      <c r="B65" s="23"/>
      <c r="C65" s="24"/>
      <c r="D65" s="24"/>
      <c r="E65" s="24"/>
      <c r="F65" s="24"/>
      <c r="G65" s="24"/>
      <c r="H65" s="25"/>
      <c r="I65" s="26"/>
      <c r="J65" s="26"/>
      <c r="K65" s="27"/>
      <c r="L65" s="26" t="s">
        <v>6</v>
      </c>
      <c r="M65" s="28"/>
      <c r="N65" s="29" t="s">
        <v>7</v>
      </c>
      <c r="T65" s="150"/>
    </row>
    <row r="66" spans="1:20">
      <c r="A66" s="32" t="s">
        <v>8</v>
      </c>
      <c r="I66" s="33" t="s">
        <v>9</v>
      </c>
      <c r="J66" s="2"/>
      <c r="K66" s="34"/>
      <c r="L66" s="2"/>
      <c r="M66" s="35"/>
      <c r="N66" s="36"/>
      <c r="T66" s="150"/>
    </row>
    <row r="67" spans="1:20" ht="13.8" thickBot="1">
      <c r="A67" s="37" t="str">
        <f>A6</f>
        <v>(Type PI name in Year 1 cell A6 and sheet will auto-fill where needed)</v>
      </c>
      <c r="B67" s="23"/>
      <c r="C67" s="38"/>
      <c r="D67" s="38"/>
      <c r="E67" s="38"/>
      <c r="F67" s="38"/>
      <c r="G67" s="38"/>
      <c r="H67" s="38"/>
      <c r="I67" s="39"/>
      <c r="J67" s="40"/>
      <c r="K67" s="41"/>
      <c r="L67" s="42"/>
      <c r="M67" s="43"/>
      <c r="N67" s="44"/>
      <c r="T67" s="150"/>
    </row>
    <row r="68" spans="1:20">
      <c r="A68" s="32" t="s">
        <v>10</v>
      </c>
      <c r="E68" s="45"/>
      <c r="G68" s="46"/>
      <c r="H68" s="47" t="s">
        <v>11</v>
      </c>
      <c r="I68" s="2"/>
      <c r="J68" s="48"/>
      <c r="K68" s="177" t="s">
        <v>12</v>
      </c>
      <c r="L68" s="178"/>
      <c r="M68" s="47" t="s">
        <v>12</v>
      </c>
      <c r="N68" s="50"/>
      <c r="T68" s="150"/>
    </row>
    <row r="69" spans="1:20">
      <c r="A69" s="32"/>
      <c r="B69" s="45" t="s">
        <v>98</v>
      </c>
      <c r="G69" s="46"/>
      <c r="H69" s="51" t="s">
        <v>13</v>
      </c>
      <c r="I69" s="26"/>
      <c r="J69" s="27"/>
      <c r="K69" s="179" t="s">
        <v>14</v>
      </c>
      <c r="L69" s="180"/>
      <c r="M69" s="47" t="s">
        <v>15</v>
      </c>
      <c r="N69" s="50"/>
      <c r="T69" s="150"/>
    </row>
    <row r="70" spans="1:20">
      <c r="A70" s="52"/>
      <c r="B70" s="53"/>
      <c r="C70" s="54"/>
      <c r="D70" s="38"/>
      <c r="E70" s="38"/>
      <c r="F70" s="38"/>
      <c r="G70" s="55"/>
      <c r="H70" s="56" t="s">
        <v>16</v>
      </c>
      <c r="I70" s="56" t="s">
        <v>17</v>
      </c>
      <c r="J70" s="27" t="s">
        <v>18</v>
      </c>
      <c r="K70" s="181" t="s">
        <v>19</v>
      </c>
      <c r="L70" s="182"/>
      <c r="M70" s="51" t="s">
        <v>20</v>
      </c>
      <c r="N70" s="57"/>
      <c r="T70" s="150"/>
    </row>
    <row r="71" spans="1:20" ht="12.75" customHeight="1">
      <c r="A71" s="58" t="s">
        <v>21</v>
      </c>
      <c r="B71" s="59"/>
      <c r="C71" s="61" t="str">
        <f>IF($P$13&gt;=2,A6," ")</f>
        <v>(Type PI name in Year 1 cell A6 and sheet will auto-fill where needed)</v>
      </c>
      <c r="D71" s="61"/>
      <c r="E71" s="61"/>
      <c r="F71" s="61"/>
      <c r="G71" s="62"/>
      <c r="H71" s="63"/>
      <c r="I71" s="63"/>
      <c r="J71" s="63"/>
      <c r="K71" s="183">
        <f>IF($P$13&gt;=2,ROUND(K10+(K10*$P$8),0),0)</f>
        <v>0</v>
      </c>
      <c r="L71" s="184"/>
      <c r="M71" s="64"/>
      <c r="N71" s="65"/>
      <c r="P71" s="149"/>
      <c r="T71" s="150"/>
    </row>
    <row r="72" spans="1:20" ht="12.75" customHeight="1">
      <c r="A72" s="58" t="s">
        <v>22</v>
      </c>
      <c r="B72" s="66"/>
      <c r="C72" s="61" t="str">
        <f>IF($P$13&gt;=2,IF(C11="","",C11)," ")</f>
        <v/>
      </c>
      <c r="D72" s="61"/>
      <c r="E72" s="61"/>
      <c r="F72" s="61"/>
      <c r="G72" s="67"/>
      <c r="H72" s="63"/>
      <c r="I72" s="63"/>
      <c r="J72" s="63"/>
      <c r="K72" s="183">
        <f t="shared" ref="K72:K76" si="0">IF($P$13&gt;=2,ROUND(K11+(K11*$P$8),0),0)</f>
        <v>0</v>
      </c>
      <c r="L72" s="184"/>
      <c r="M72" s="54"/>
      <c r="N72" s="65"/>
      <c r="P72" s="159"/>
      <c r="T72" s="150"/>
    </row>
    <row r="73" spans="1:20" ht="12.75" customHeight="1">
      <c r="A73" s="58" t="s">
        <v>23</v>
      </c>
      <c r="B73" s="61"/>
      <c r="C73" s="61" t="str">
        <f>IF($P$13&gt;=2,IF(C12="","",C12)," ")</f>
        <v/>
      </c>
      <c r="D73" s="61"/>
      <c r="E73" s="61"/>
      <c r="F73" s="61"/>
      <c r="G73" s="67"/>
      <c r="H73" s="63"/>
      <c r="I73" s="63"/>
      <c r="J73" s="63"/>
      <c r="K73" s="183">
        <f t="shared" si="0"/>
        <v>0</v>
      </c>
      <c r="L73" s="184"/>
      <c r="M73" s="54"/>
      <c r="N73" s="65"/>
      <c r="P73" s="151"/>
      <c r="T73" s="150"/>
    </row>
    <row r="74" spans="1:20" ht="12.75" customHeight="1">
      <c r="A74" s="58" t="s">
        <v>24</v>
      </c>
      <c r="B74" s="61"/>
      <c r="C74" s="61" t="str">
        <f>IF($P$13&gt;=2,IF(C13="","",C13)," ")</f>
        <v/>
      </c>
      <c r="D74" s="61"/>
      <c r="E74" s="61"/>
      <c r="F74" s="61"/>
      <c r="G74" s="67"/>
      <c r="H74" s="63"/>
      <c r="I74" s="63"/>
      <c r="J74" s="63"/>
      <c r="K74" s="183">
        <f t="shared" si="0"/>
        <v>0</v>
      </c>
      <c r="L74" s="184"/>
      <c r="M74" s="54"/>
      <c r="N74" s="65"/>
      <c r="P74" s="166"/>
      <c r="T74" s="150"/>
    </row>
    <row r="75" spans="1:20" ht="12.75" customHeight="1" thickBot="1">
      <c r="A75" s="58" t="s">
        <v>25</v>
      </c>
      <c r="B75" s="61"/>
      <c r="C75" s="61" t="str">
        <f>IF($P$13&gt;=2,IF(C14="","",C14)," ")</f>
        <v/>
      </c>
      <c r="D75" s="61"/>
      <c r="E75" s="61"/>
      <c r="F75" s="61"/>
      <c r="G75" s="67"/>
      <c r="H75" s="63"/>
      <c r="I75" s="63"/>
      <c r="J75" s="63"/>
      <c r="K75" s="183">
        <f t="shared" si="0"/>
        <v>0</v>
      </c>
      <c r="L75" s="184"/>
      <c r="M75" s="54"/>
      <c r="N75" s="65"/>
      <c r="P75" s="149" t="s">
        <v>107</v>
      </c>
      <c r="T75" s="150"/>
    </row>
    <row r="76" spans="1:20" ht="12.75" customHeight="1" thickBot="1">
      <c r="A76" s="58" t="s">
        <v>26</v>
      </c>
      <c r="B76" s="53"/>
      <c r="C76" s="38" t="s">
        <v>27</v>
      </c>
      <c r="D76" s="38"/>
      <c r="E76" s="38"/>
      <c r="F76" s="38"/>
      <c r="G76" s="55"/>
      <c r="H76" s="63"/>
      <c r="I76" s="63"/>
      <c r="J76" s="63"/>
      <c r="K76" s="183">
        <f t="shared" si="0"/>
        <v>0</v>
      </c>
      <c r="L76" s="184"/>
      <c r="M76" s="54"/>
      <c r="N76" s="65"/>
      <c r="P76" s="165"/>
      <c r="T76" s="150"/>
    </row>
    <row r="77" spans="1:20" ht="12.75" customHeight="1">
      <c r="A77" s="58" t="s">
        <v>28</v>
      </c>
      <c r="B77" s="53"/>
      <c r="C77" s="38" t="s">
        <v>29</v>
      </c>
      <c r="D77" s="38"/>
      <c r="E77" s="38"/>
      <c r="F77" s="38"/>
      <c r="G77" s="55"/>
      <c r="H77" s="63"/>
      <c r="I77" s="63"/>
      <c r="J77" s="63"/>
      <c r="K77" s="183">
        <f>SUM(K$71:K$76)</f>
        <v>0</v>
      </c>
      <c r="L77" s="184"/>
      <c r="M77" s="54"/>
      <c r="N77" s="65"/>
      <c r="T77" s="150"/>
    </row>
    <row r="78" spans="1:20" ht="12.75" customHeight="1">
      <c r="A78" s="69" t="s">
        <v>30</v>
      </c>
      <c r="B78" s="38"/>
      <c r="C78" s="38"/>
      <c r="D78" s="38"/>
      <c r="E78" s="38"/>
      <c r="F78" s="38"/>
      <c r="G78" s="55"/>
      <c r="H78" s="136"/>
      <c r="I78" s="136"/>
      <c r="J78" s="136"/>
      <c r="K78" s="137"/>
      <c r="L78" s="138"/>
      <c r="M78" s="139"/>
      <c r="N78" s="140"/>
      <c r="P78" t="s">
        <v>106</v>
      </c>
      <c r="T78" s="150"/>
    </row>
    <row r="79" spans="1:20" ht="12.75" customHeight="1">
      <c r="A79" s="58" t="s">
        <v>31</v>
      </c>
      <c r="B79" s="53"/>
      <c r="C79" s="38" t="s">
        <v>32</v>
      </c>
      <c r="D79" s="38"/>
      <c r="E79" s="38"/>
      <c r="F79" s="38"/>
      <c r="G79" s="55"/>
      <c r="H79" s="63"/>
      <c r="I79" s="63"/>
      <c r="J79" s="63"/>
      <c r="K79" s="183">
        <f t="shared" ref="K79:K84" si="1">IF($P$13&gt;=2,ROUND(K18+(K18*$P$8),0),0)</f>
        <v>0</v>
      </c>
      <c r="L79" s="184"/>
      <c r="M79" s="54"/>
      <c r="N79" s="65"/>
      <c r="P79" s="160">
        <v>0.41</v>
      </c>
      <c r="Q79" t="s">
        <v>108</v>
      </c>
      <c r="T79" s="150"/>
    </row>
    <row r="80" spans="1:20" ht="12.75" customHeight="1">
      <c r="A80" s="58" t="s">
        <v>33</v>
      </c>
      <c r="B80" s="53"/>
      <c r="C80" s="38" t="s">
        <v>34</v>
      </c>
      <c r="D80" s="38"/>
      <c r="E80" s="38"/>
      <c r="F80" s="38"/>
      <c r="G80" s="38"/>
      <c r="H80" s="70"/>
      <c r="I80" s="70"/>
      <c r="J80" s="71"/>
      <c r="K80" s="183">
        <f t="shared" si="1"/>
        <v>0</v>
      </c>
      <c r="L80" s="184"/>
      <c r="M80" s="54"/>
      <c r="N80" s="65"/>
      <c r="P80" s="161">
        <v>7.6499999999999999E-2</v>
      </c>
      <c r="Q80" t="s">
        <v>109</v>
      </c>
      <c r="T80" s="150"/>
    </row>
    <row r="81" spans="1:20" ht="12.75" customHeight="1">
      <c r="A81" s="58" t="s">
        <v>35</v>
      </c>
      <c r="B81" s="53"/>
      <c r="C81" s="61" t="s">
        <v>36</v>
      </c>
      <c r="D81" s="38"/>
      <c r="E81" s="38"/>
      <c r="F81" s="72"/>
      <c r="G81" s="38"/>
      <c r="H81" s="73"/>
      <c r="I81" s="73"/>
      <c r="J81" s="74"/>
      <c r="K81" s="183">
        <f t="shared" si="1"/>
        <v>0</v>
      </c>
      <c r="L81" s="184"/>
      <c r="M81" s="54"/>
      <c r="N81" s="65"/>
      <c r="T81" s="150"/>
    </row>
    <row r="82" spans="1:20" ht="12.6" customHeight="1">
      <c r="A82" s="58" t="s">
        <v>37</v>
      </c>
      <c r="B82" s="53"/>
      <c r="C82" s="61" t="s">
        <v>38</v>
      </c>
      <c r="D82" s="38"/>
      <c r="E82" s="38"/>
      <c r="F82" s="72"/>
      <c r="G82" s="38"/>
      <c r="H82" s="73"/>
      <c r="I82" s="73"/>
      <c r="J82" s="74"/>
      <c r="K82" s="183">
        <f t="shared" si="1"/>
        <v>0</v>
      </c>
      <c r="L82" s="184"/>
      <c r="M82" s="54"/>
      <c r="N82" s="65"/>
      <c r="T82" s="150"/>
    </row>
    <row r="83" spans="1:20" ht="19.2" customHeight="1">
      <c r="A83" s="58" t="s">
        <v>39</v>
      </c>
      <c r="B83" s="53"/>
      <c r="C83" s="61" t="s">
        <v>40</v>
      </c>
      <c r="D83" s="38"/>
      <c r="E83" s="38"/>
      <c r="F83" s="38"/>
      <c r="G83" s="38"/>
      <c r="H83" s="38"/>
      <c r="I83" s="38"/>
      <c r="J83" s="55"/>
      <c r="K83" s="183">
        <f t="shared" si="1"/>
        <v>0</v>
      </c>
      <c r="L83" s="184"/>
      <c r="M83" s="54"/>
      <c r="N83" s="65"/>
      <c r="P83" s="170" t="s">
        <v>126</v>
      </c>
      <c r="Q83" s="173" t="s">
        <v>135</v>
      </c>
      <c r="R83" s="169"/>
      <c r="T83" s="150"/>
    </row>
    <row r="84" spans="1:20" ht="12.75" customHeight="1">
      <c r="A84" s="58" t="s">
        <v>26</v>
      </c>
      <c r="B84" s="53"/>
      <c r="C84" s="61" t="s">
        <v>41</v>
      </c>
      <c r="D84" s="38"/>
      <c r="E84" s="38"/>
      <c r="F84" s="38"/>
      <c r="G84" s="38"/>
      <c r="H84" s="38"/>
      <c r="I84" s="38"/>
      <c r="J84" s="55"/>
      <c r="K84" s="183">
        <f t="shared" si="1"/>
        <v>0</v>
      </c>
      <c r="L84" s="184"/>
      <c r="M84" s="54"/>
      <c r="N84" s="65"/>
      <c r="P84" s="168" t="s">
        <v>127</v>
      </c>
      <c r="Q84" s="171">
        <f>IF($P$13&gt;=2,Q32,"")</f>
        <v>0</v>
      </c>
      <c r="R84" s="172">
        <f>IF($P$13&gt;1,(Q84/12)*2162,"")</f>
        <v>0</v>
      </c>
      <c r="T84" s="150"/>
    </row>
    <row r="85" spans="1:20" ht="12.75" customHeight="1">
      <c r="A85" s="58"/>
      <c r="B85" s="61" t="s">
        <v>42</v>
      </c>
      <c r="C85" s="61"/>
      <c r="D85" s="38"/>
      <c r="E85" s="38"/>
      <c r="F85" s="38"/>
      <c r="G85" s="38"/>
      <c r="H85" s="38"/>
      <c r="I85" s="38"/>
      <c r="J85" s="55"/>
      <c r="K85" s="183">
        <f>K$77+SUM(K$79:K$84)</f>
        <v>0</v>
      </c>
      <c r="L85" s="184"/>
      <c r="M85" s="54"/>
      <c r="N85" s="65"/>
      <c r="P85" s="168" t="s">
        <v>128</v>
      </c>
      <c r="Q85" s="171">
        <f t="shared" ref="Q85:Q86" si="2">IF($P$13&gt;=2,Q33,"")</f>
        <v>0</v>
      </c>
      <c r="R85" s="172">
        <f>IF($P$13&gt;1,(Q85/9)*1730,"")</f>
        <v>0</v>
      </c>
      <c r="T85" s="150"/>
    </row>
    <row r="86" spans="1:20" ht="12.75" customHeight="1">
      <c r="A86" s="69" t="s">
        <v>43</v>
      </c>
      <c r="B86" s="38"/>
      <c r="C86" s="38"/>
      <c r="D86" s="38"/>
      <c r="E86" s="38"/>
      <c r="F86" s="38"/>
      <c r="G86" s="75" t="s">
        <v>44</v>
      </c>
      <c r="H86" s="76"/>
      <c r="I86" s="38"/>
      <c r="J86" s="55"/>
      <c r="K86" s="185">
        <f>IF(P13&gt;1,ROUND(((K85-K82-K81-P76)*P79)+(P76*P80)+R87,0))</f>
        <v>0</v>
      </c>
      <c r="L86" s="186"/>
      <c r="M86" s="54"/>
      <c r="N86" s="65"/>
      <c r="P86" s="168" t="s">
        <v>129</v>
      </c>
      <c r="Q86" s="171">
        <f t="shared" si="2"/>
        <v>0</v>
      </c>
      <c r="R86" s="172">
        <f>IF($P$13&gt;1,(Q86/3)*432,"")</f>
        <v>0</v>
      </c>
      <c r="T86" s="150"/>
    </row>
    <row r="87" spans="1:20" ht="12.75" customHeight="1">
      <c r="A87" s="69"/>
      <c r="B87" s="61" t="s">
        <v>45</v>
      </c>
      <c r="C87" s="38"/>
      <c r="D87" s="38"/>
      <c r="E87" s="38"/>
      <c r="F87" s="38"/>
      <c r="G87" s="38"/>
      <c r="H87" s="38"/>
      <c r="I87" s="38"/>
      <c r="J87" s="55"/>
      <c r="K87" s="183">
        <f>K$85+K$86</f>
        <v>0</v>
      </c>
      <c r="L87" s="184"/>
      <c r="M87" s="54"/>
      <c r="N87" s="65"/>
      <c r="P87" s="169"/>
      <c r="Q87" s="169"/>
      <c r="R87" s="172">
        <f>IF($P$13&gt;1,SUM(R84:R86),"")</f>
        <v>0</v>
      </c>
      <c r="T87" s="150"/>
    </row>
    <row r="88" spans="1:20" ht="12.75" customHeight="1">
      <c r="A88" s="32" t="s">
        <v>46</v>
      </c>
      <c r="J88" s="46"/>
      <c r="K88" s="134"/>
      <c r="L88" s="141"/>
      <c r="M88" s="134"/>
      <c r="N88" s="135"/>
      <c r="T88" s="150"/>
    </row>
    <row r="89" spans="1:20" ht="12.75" customHeight="1">
      <c r="A89" s="32"/>
      <c r="B89" s="77"/>
      <c r="C89" s="143"/>
      <c r="H89" s="78"/>
      <c r="I89" s="2"/>
      <c r="J89" s="46"/>
      <c r="K89" s="134"/>
      <c r="L89" s="141"/>
      <c r="M89" s="134"/>
      <c r="N89" s="135"/>
      <c r="T89" s="150"/>
    </row>
    <row r="90" spans="1:20" ht="12.75" customHeight="1">
      <c r="A90" s="32"/>
      <c r="B90" s="79"/>
      <c r="J90" s="46"/>
      <c r="K90" s="134"/>
      <c r="L90" s="141"/>
      <c r="M90" s="134"/>
      <c r="N90" s="135"/>
      <c r="T90" s="150"/>
    </row>
    <row r="91" spans="1:20" ht="12.75" customHeight="1">
      <c r="A91" s="32"/>
      <c r="J91" s="46"/>
      <c r="K91" s="134"/>
      <c r="L91" s="141"/>
      <c r="M91" s="134"/>
      <c r="N91" s="135"/>
      <c r="T91" s="150"/>
    </row>
    <row r="92" spans="1:20" ht="12.75" customHeight="1">
      <c r="A92" s="69"/>
      <c r="B92" s="61" t="s">
        <v>47</v>
      </c>
      <c r="C92" s="38"/>
      <c r="D92" s="38"/>
      <c r="E92" s="38"/>
      <c r="F92" s="38"/>
      <c r="G92" s="38"/>
      <c r="H92" s="38"/>
      <c r="I92" s="38"/>
      <c r="J92" s="55"/>
      <c r="K92" s="183"/>
      <c r="L92" s="184"/>
      <c r="M92" s="80"/>
      <c r="N92" s="81"/>
      <c r="T92" s="150"/>
    </row>
    <row r="93" spans="1:20" ht="12.75" customHeight="1">
      <c r="A93" s="69" t="s">
        <v>48</v>
      </c>
      <c r="B93" s="38"/>
      <c r="C93" s="38"/>
      <c r="D93" s="38" t="s">
        <v>124</v>
      </c>
      <c r="E93" s="38"/>
      <c r="F93" s="38"/>
      <c r="G93" s="38"/>
      <c r="H93" s="38"/>
      <c r="I93" s="38"/>
      <c r="J93" s="55"/>
      <c r="K93" s="183">
        <f>IF($P$13&gt;=2,ROUND(K32+(K32*$P$11),0),0)</f>
        <v>0</v>
      </c>
      <c r="L93" s="184"/>
      <c r="M93" s="54"/>
      <c r="N93" s="65"/>
      <c r="T93" s="150"/>
    </row>
    <row r="94" spans="1:20" ht="12.75" customHeight="1">
      <c r="A94" s="69"/>
      <c r="B94" s="38"/>
      <c r="C94" s="38"/>
      <c r="D94" s="38" t="s">
        <v>49</v>
      </c>
      <c r="E94" s="38"/>
      <c r="F94" s="38"/>
      <c r="G94" s="38"/>
      <c r="H94" s="38"/>
      <c r="I94" s="38"/>
      <c r="J94" s="55"/>
      <c r="K94" s="183">
        <f>IF($P$13&gt;=2,ROUND(K33+(K33*$P$11),0),0)</f>
        <v>0</v>
      </c>
      <c r="L94" s="184"/>
      <c r="M94" s="54"/>
      <c r="N94" s="65"/>
      <c r="T94" s="150"/>
    </row>
    <row r="95" spans="1:20" ht="12.75" customHeight="1">
      <c r="A95" s="32" t="s">
        <v>50</v>
      </c>
      <c r="J95" s="46"/>
      <c r="K95" s="134"/>
      <c r="L95" s="141"/>
      <c r="M95" s="134"/>
      <c r="N95" s="135"/>
      <c r="T95" s="150"/>
    </row>
    <row r="96" spans="1:20" ht="12.75" customHeight="1">
      <c r="A96" s="32"/>
      <c r="B96" s="8" t="s">
        <v>51</v>
      </c>
      <c r="D96" s="82"/>
      <c r="E96" s="83"/>
      <c r="J96" s="46"/>
      <c r="K96" s="134"/>
      <c r="L96" s="141"/>
      <c r="M96" s="134"/>
      <c r="N96" s="135"/>
      <c r="T96" s="150"/>
    </row>
    <row r="97" spans="1:20" ht="12.75" customHeight="1">
      <c r="A97" s="32"/>
      <c r="B97" s="8" t="s">
        <v>52</v>
      </c>
      <c r="E97" s="83"/>
      <c r="J97" s="46"/>
      <c r="K97" s="134"/>
      <c r="L97" s="141"/>
      <c r="M97" s="134"/>
      <c r="N97" s="135"/>
      <c r="T97" s="150"/>
    </row>
    <row r="98" spans="1:20" ht="12.75" customHeight="1">
      <c r="A98" s="32"/>
      <c r="B98" s="8" t="s">
        <v>53</v>
      </c>
      <c r="E98" s="83"/>
      <c r="J98" s="46"/>
      <c r="K98" s="134"/>
      <c r="L98" s="141"/>
      <c r="M98" s="134"/>
      <c r="N98" s="135"/>
      <c r="T98" s="150"/>
    </row>
    <row r="99" spans="1:20" ht="12.75" customHeight="1">
      <c r="A99" s="32"/>
      <c r="B99" s="8" t="s">
        <v>54</v>
      </c>
      <c r="E99" s="83"/>
      <c r="J99" s="46"/>
      <c r="K99" s="134"/>
      <c r="L99" s="141"/>
      <c r="M99" s="134"/>
      <c r="N99" s="135"/>
      <c r="T99" s="150"/>
    </row>
    <row r="100" spans="1:20" ht="12.75" customHeight="1">
      <c r="A100" s="69"/>
      <c r="B100" s="38"/>
      <c r="C100" s="38"/>
      <c r="D100" s="38"/>
      <c r="E100" s="38"/>
      <c r="F100" s="38"/>
      <c r="G100" s="38"/>
      <c r="H100" s="38"/>
      <c r="I100" s="38"/>
      <c r="J100" s="55"/>
      <c r="K100" s="139"/>
      <c r="L100" s="142"/>
      <c r="M100" s="139"/>
      <c r="N100" s="140"/>
      <c r="T100" s="150"/>
    </row>
    <row r="101" spans="1:20" ht="12.75" customHeight="1">
      <c r="A101" s="58" t="s">
        <v>100</v>
      </c>
      <c r="B101" s="61"/>
      <c r="C101" s="61"/>
      <c r="D101" s="38"/>
      <c r="E101" s="38"/>
      <c r="F101" s="144"/>
      <c r="G101" s="38"/>
      <c r="H101" s="38"/>
      <c r="I101" s="38"/>
      <c r="J101" s="145" t="s">
        <v>99</v>
      </c>
      <c r="K101" s="183">
        <f>SUM($E$96:$E$99)</f>
        <v>0</v>
      </c>
      <c r="L101" s="184"/>
      <c r="M101" s="54"/>
      <c r="N101" s="65"/>
      <c r="T101" s="150"/>
    </row>
    <row r="102" spans="1:20" ht="12.75" customHeight="1">
      <c r="A102" s="69" t="s">
        <v>55</v>
      </c>
      <c r="B102" s="38"/>
      <c r="C102" s="38"/>
      <c r="D102" s="38"/>
      <c r="E102" s="38"/>
      <c r="F102" s="38"/>
      <c r="G102" s="38"/>
      <c r="H102" s="38"/>
      <c r="I102" s="38"/>
      <c r="J102" s="55"/>
      <c r="K102" s="139"/>
      <c r="L102" s="142"/>
      <c r="M102" s="139"/>
      <c r="N102" s="140"/>
      <c r="T102" s="150"/>
    </row>
    <row r="103" spans="1:20" ht="12.75" customHeight="1">
      <c r="A103" s="69"/>
      <c r="B103" s="38" t="s">
        <v>56</v>
      </c>
      <c r="C103" s="38"/>
      <c r="D103" s="38"/>
      <c r="E103" s="38"/>
      <c r="F103" s="38"/>
      <c r="G103" s="38"/>
      <c r="H103" s="38"/>
      <c r="I103" s="38"/>
      <c r="J103" s="55"/>
      <c r="K103" s="183">
        <f>IF($P$13&gt;=2,ROUND(K42+(K42*$P$11),0),0)</f>
        <v>0</v>
      </c>
      <c r="L103" s="184"/>
      <c r="M103" s="54"/>
      <c r="N103" s="65"/>
      <c r="T103" s="150"/>
    </row>
    <row r="104" spans="1:20" ht="12.75" customHeight="1">
      <c r="A104" s="69"/>
      <c r="B104" s="38" t="s">
        <v>57</v>
      </c>
      <c r="C104" s="38"/>
      <c r="D104" s="38"/>
      <c r="E104" s="38"/>
      <c r="F104" s="38"/>
      <c r="G104" s="38"/>
      <c r="H104" s="38"/>
      <c r="I104" s="38"/>
      <c r="J104" s="55"/>
      <c r="K104" s="183">
        <f>IF($P$13&gt;=2,ROUND(K43+(K43*$P$11),0),0)</f>
        <v>0</v>
      </c>
      <c r="L104" s="184"/>
      <c r="M104" s="54"/>
      <c r="N104" s="65"/>
      <c r="T104" s="150"/>
    </row>
    <row r="105" spans="1:20" ht="12.75" customHeight="1">
      <c r="A105" s="69"/>
      <c r="B105" s="38" t="s">
        <v>58</v>
      </c>
      <c r="C105" s="38"/>
      <c r="D105" s="38"/>
      <c r="E105" s="38"/>
      <c r="F105" s="38"/>
      <c r="G105" s="38"/>
      <c r="H105" s="38"/>
      <c r="I105" s="38"/>
      <c r="J105" s="55"/>
      <c r="K105" s="183">
        <f>IF($P$13&gt;=2,ROUND(K44+(K44*$P$11),0),0)</f>
        <v>0</v>
      </c>
      <c r="L105" s="184"/>
      <c r="M105" s="54"/>
      <c r="N105" s="65"/>
      <c r="P105" s="86" t="s">
        <v>63</v>
      </c>
      <c r="R105" s="85" t="s">
        <v>61</v>
      </c>
      <c r="T105" s="150"/>
    </row>
    <row r="106" spans="1:20" ht="12.75" customHeight="1">
      <c r="A106" s="69"/>
      <c r="B106" s="38" t="s">
        <v>59</v>
      </c>
      <c r="C106" s="38"/>
      <c r="D106" s="38"/>
      <c r="E106" s="38"/>
      <c r="F106" s="38"/>
      <c r="G106" s="38"/>
      <c r="H106" s="38"/>
      <c r="I106" s="38"/>
      <c r="J106" s="55"/>
      <c r="K106" s="183">
        <f>IF($P$13&gt;=2,ROUND(K45+(K45*$P$11),0),0)</f>
        <v>0</v>
      </c>
      <c r="L106" s="184"/>
      <c r="M106" s="54"/>
      <c r="N106" s="65"/>
      <c r="P106" s="86" t="s">
        <v>66</v>
      </c>
      <c r="Q106" s="87" t="s">
        <v>89</v>
      </c>
      <c r="R106" s="85" t="s">
        <v>64</v>
      </c>
      <c r="T106" s="150"/>
    </row>
    <row r="107" spans="1:20" ht="12.75" customHeight="1">
      <c r="A107" s="69"/>
      <c r="B107" s="38" t="s">
        <v>60</v>
      </c>
      <c r="C107" s="38"/>
      <c r="D107" s="38"/>
      <c r="E107" s="38"/>
      <c r="F107" s="38"/>
      <c r="G107" s="38"/>
      <c r="H107" s="38"/>
      <c r="I107" s="38"/>
      <c r="J107" s="55"/>
      <c r="K107" s="183">
        <f>SUM(Q107:Q110)</f>
        <v>0</v>
      </c>
      <c r="L107" s="184"/>
      <c r="M107" s="54"/>
      <c r="N107" s="65"/>
      <c r="P107" s="88" t="s">
        <v>70</v>
      </c>
      <c r="Q107" s="89"/>
      <c r="R107" s="85" t="s">
        <v>68</v>
      </c>
      <c r="T107" s="150"/>
    </row>
    <row r="108" spans="1:20" ht="12.75" customHeight="1">
      <c r="A108" s="69"/>
      <c r="B108" s="38" t="s">
        <v>62</v>
      </c>
      <c r="C108" s="38"/>
      <c r="D108" s="38"/>
      <c r="E108" s="38"/>
      <c r="F108" s="72"/>
      <c r="G108" s="38"/>
      <c r="H108" s="38"/>
      <c r="I108" s="38"/>
      <c r="J108" s="55"/>
      <c r="K108" s="183">
        <f>Q114+Q115</f>
        <v>0</v>
      </c>
      <c r="L108" s="184"/>
      <c r="M108" s="54"/>
      <c r="N108" s="65"/>
      <c r="P108" s="92" t="s">
        <v>72</v>
      </c>
      <c r="Q108" s="93"/>
      <c r="R108" s="90">
        <f>IF(Q107+R47&gt;=25000,25000-R47,Q107)</f>
        <v>0</v>
      </c>
      <c r="T108" s="150"/>
    </row>
    <row r="109" spans="1:20" ht="12.75" customHeight="1">
      <c r="A109" s="69"/>
      <c r="B109" s="38"/>
      <c r="C109" s="38" t="s">
        <v>65</v>
      </c>
      <c r="D109" s="38"/>
      <c r="E109" s="38"/>
      <c r="F109" s="38"/>
      <c r="G109" s="38"/>
      <c r="H109" s="38"/>
      <c r="I109" s="38"/>
      <c r="J109" s="55"/>
      <c r="K109" s="183">
        <f>SUM(K$103:K$108)</f>
        <v>0</v>
      </c>
      <c r="L109" s="184"/>
      <c r="M109" s="54"/>
      <c r="N109" s="65"/>
      <c r="P109" s="92" t="s">
        <v>74</v>
      </c>
      <c r="Q109" s="93"/>
      <c r="R109" s="90">
        <f>IF(Q108+R48&gt;=25000,25000-R48,Q108)</f>
        <v>0</v>
      </c>
      <c r="T109" s="150"/>
    </row>
    <row r="110" spans="1:20" ht="12.75" customHeight="1">
      <c r="A110" s="69" t="s">
        <v>69</v>
      </c>
      <c r="B110" s="38"/>
      <c r="C110" s="38"/>
      <c r="D110" s="38"/>
      <c r="E110" s="38"/>
      <c r="F110" s="38"/>
      <c r="G110" s="38"/>
      <c r="H110" s="38"/>
      <c r="I110" s="38"/>
      <c r="J110" s="55"/>
      <c r="K110" s="183">
        <f>K$87+SUM(K$92:K$94)+K$101+K$109</f>
        <v>0</v>
      </c>
      <c r="L110" s="184"/>
      <c r="M110" s="54"/>
      <c r="N110" s="65"/>
      <c r="P110" s="98" t="s">
        <v>77</v>
      </c>
      <c r="Q110" s="99"/>
      <c r="R110" s="90">
        <f>IF(Q109+R49&gt;=25000,25000-R49,Q109)</f>
        <v>0</v>
      </c>
      <c r="T110" s="150"/>
    </row>
    <row r="111" spans="1:20" ht="12.75" customHeight="1">
      <c r="A111" s="32" t="s">
        <v>71</v>
      </c>
      <c r="J111" s="46"/>
      <c r="K111" s="132"/>
      <c r="L111" s="133"/>
      <c r="M111" s="134"/>
      <c r="N111" s="135"/>
      <c r="R111" s="90">
        <f>IF(Q110+R50&gt;=25000,25000-R50,Q110)</f>
        <v>0</v>
      </c>
      <c r="T111" s="150"/>
    </row>
    <row r="112" spans="1:20" ht="12.75" customHeight="1">
      <c r="A112" s="94" t="s">
        <v>73</v>
      </c>
      <c r="B112" s="2"/>
      <c r="C112" s="2"/>
      <c r="D112" s="2"/>
      <c r="E112" s="5"/>
      <c r="F112" s="5"/>
      <c r="G112" s="187">
        <f>IF(R108&gt;25000,"25000",R108)+IF(R109&gt;25000,"25000",R109)+IF(R110&gt;25000,"25000",R110)+IF(R111&gt;25000,"25000",R111)+K110-K92-K101-K107-Q114</f>
        <v>0</v>
      </c>
      <c r="H112" s="187"/>
      <c r="J112" s="46"/>
      <c r="K112" s="132"/>
      <c r="L112" s="133"/>
      <c r="M112" s="134"/>
      <c r="N112" s="135"/>
      <c r="P112" s="149" t="s">
        <v>114</v>
      </c>
      <c r="T112" s="150"/>
    </row>
    <row r="113" spans="1:20" ht="12.75" customHeight="1">
      <c r="A113" s="69" t="s">
        <v>75</v>
      </c>
      <c r="B113" s="38"/>
      <c r="C113" s="38"/>
      <c r="D113" s="38"/>
      <c r="E113" s="38"/>
      <c r="F113" s="38"/>
      <c r="G113" s="75" t="s">
        <v>76</v>
      </c>
      <c r="H113" s="95">
        <f>IF(P13&gt;1,H52,0)</f>
        <v>0.5</v>
      </c>
      <c r="I113" s="38"/>
      <c r="J113" s="55"/>
      <c r="K113" s="183">
        <f>ROUND($G$112 * $H$113,0)</f>
        <v>0</v>
      </c>
      <c r="L113" s="184"/>
      <c r="M113" s="96"/>
      <c r="N113" s="97"/>
      <c r="P113" s="149" t="s">
        <v>113</v>
      </c>
      <c r="Q113" s="162" t="s">
        <v>89</v>
      </c>
      <c r="T113" s="150"/>
    </row>
    <row r="114" spans="1:20" ht="12.75" customHeight="1">
      <c r="A114" s="69" t="s">
        <v>78</v>
      </c>
      <c r="B114" s="38"/>
      <c r="C114" s="38"/>
      <c r="D114" s="38"/>
      <c r="E114" s="38"/>
      <c r="F114" s="38"/>
      <c r="G114" s="38"/>
      <c r="H114" s="38"/>
      <c r="I114" s="38"/>
      <c r="J114" s="55"/>
      <c r="K114" s="183">
        <f>K$110+K$113</f>
        <v>0</v>
      </c>
      <c r="L114" s="184"/>
      <c r="M114" s="54"/>
      <c r="N114" s="65"/>
      <c r="P114" s="162" t="s">
        <v>111</v>
      </c>
      <c r="Q114" s="164">
        <f>IF(P13&gt;1,ROUND(K81*R115,0),0)</f>
        <v>0</v>
      </c>
      <c r="T114" s="150"/>
    </row>
    <row r="115" spans="1:20" ht="12.75" customHeight="1">
      <c r="A115" s="69" t="s">
        <v>79</v>
      </c>
      <c r="B115" s="38"/>
      <c r="C115" s="38"/>
      <c r="D115" s="38"/>
      <c r="E115" s="38"/>
      <c r="F115" s="38"/>
      <c r="G115" s="38"/>
      <c r="H115" s="38"/>
      <c r="I115" s="38"/>
      <c r="J115" s="55"/>
      <c r="K115" s="183"/>
      <c r="L115" s="184"/>
      <c r="M115" s="54"/>
      <c r="N115" s="65"/>
      <c r="P115" s="162" t="s">
        <v>112</v>
      </c>
      <c r="Q115" s="164">
        <f>IF($P$13&gt;=1,ROUND(Q54+(Q54*$P$11),0),0)</f>
        <v>0</v>
      </c>
      <c r="R115" s="160">
        <v>0.38</v>
      </c>
      <c r="T115" s="150"/>
    </row>
    <row r="116" spans="1:20" ht="12.75" customHeight="1" thickBot="1">
      <c r="A116" s="101" t="s">
        <v>80</v>
      </c>
      <c r="B116" s="40"/>
      <c r="C116" s="40"/>
      <c r="D116" s="40"/>
      <c r="E116" s="40"/>
      <c r="F116" s="40"/>
      <c r="G116" s="40"/>
      <c r="H116" s="40"/>
      <c r="I116" s="40"/>
      <c r="J116" s="41"/>
      <c r="K116" s="188">
        <f>K$114-K$115</f>
        <v>0</v>
      </c>
      <c r="L116" s="189"/>
      <c r="M116" s="104"/>
      <c r="N116" s="105"/>
      <c r="P116" s="147"/>
      <c r="Q116" s="148"/>
      <c r="T116" s="150"/>
    </row>
    <row r="117" spans="1:20" ht="12.75" customHeight="1" thickBot="1">
      <c r="A117" s="101" t="s">
        <v>81</v>
      </c>
      <c r="B117" s="40"/>
      <c r="C117" s="40"/>
      <c r="D117" s="40"/>
      <c r="E117" s="40"/>
      <c r="F117" s="102">
        <f>F56</f>
        <v>0</v>
      </c>
      <c r="G117" s="106" t="s">
        <v>82</v>
      </c>
      <c r="H117" s="40"/>
      <c r="I117" s="40"/>
      <c r="J117" s="42"/>
      <c r="K117" s="102"/>
      <c r="L117" s="102"/>
      <c r="M117" s="42"/>
      <c r="N117" s="107"/>
      <c r="P117" s="147"/>
      <c r="Q117" s="148"/>
      <c r="T117" s="150"/>
    </row>
    <row r="118" spans="1:20" ht="12.75" customHeight="1">
      <c r="A118" s="32" t="s">
        <v>121</v>
      </c>
      <c r="F118" s="46"/>
      <c r="G118" s="36" t="s">
        <v>83</v>
      </c>
      <c r="H118" s="108" t="s">
        <v>1</v>
      </c>
      <c r="I118" s="26"/>
      <c r="J118" s="26"/>
      <c r="K118" s="26"/>
      <c r="L118" s="26"/>
      <c r="M118" s="26"/>
      <c r="N118" s="57"/>
      <c r="P118" s="147"/>
      <c r="Q118" s="148"/>
      <c r="T118" s="150"/>
    </row>
    <row r="119" spans="1:20" ht="12.75" customHeight="1">
      <c r="A119" s="69" t="str">
        <f>A6</f>
        <v>(Type PI name in Year 1 cell A6 and sheet will auto-fill where needed)</v>
      </c>
      <c r="B119" s="38"/>
      <c r="C119" s="38"/>
      <c r="D119" s="38"/>
      <c r="E119" s="38"/>
      <c r="F119" s="61"/>
      <c r="G119" s="109"/>
      <c r="H119" s="26" t="s">
        <v>84</v>
      </c>
      <c r="I119" s="26"/>
      <c r="J119" s="26"/>
      <c r="K119" s="26"/>
      <c r="L119" s="26"/>
      <c r="M119" s="26"/>
      <c r="N119" s="57"/>
      <c r="P119" s="147"/>
      <c r="Q119" s="148"/>
      <c r="T119" s="150"/>
    </row>
    <row r="120" spans="1:20" ht="12.75" customHeight="1">
      <c r="A120" s="32" t="s">
        <v>120</v>
      </c>
      <c r="F120" s="46"/>
      <c r="G120" s="36" t="s">
        <v>83</v>
      </c>
      <c r="H120" s="2" t="s">
        <v>85</v>
      </c>
      <c r="I120" s="35"/>
      <c r="J120" s="2" t="s">
        <v>86</v>
      </c>
      <c r="K120" s="2"/>
      <c r="L120" s="35"/>
      <c r="M120" s="2" t="s">
        <v>87</v>
      </c>
      <c r="N120" s="50"/>
      <c r="P120" s="147"/>
      <c r="Q120" s="148"/>
      <c r="T120" s="150"/>
    </row>
    <row r="121" spans="1:20" ht="12.75" customHeight="1" thickBot="1">
      <c r="A121" s="101" t="str">
        <f>A60</f>
        <v>Darya Courville, Executive Director, Sponsored Programs</v>
      </c>
      <c r="B121" s="40"/>
      <c r="C121" s="40"/>
      <c r="D121" s="40"/>
      <c r="E121" s="40"/>
      <c r="F121" s="41"/>
      <c r="G121" s="44"/>
      <c r="H121" s="40"/>
      <c r="I121" s="41"/>
      <c r="J121" s="40"/>
      <c r="K121" s="40"/>
      <c r="L121" s="41"/>
      <c r="M121" s="40"/>
      <c r="N121" s="44"/>
      <c r="P121" s="147"/>
      <c r="Q121" s="148"/>
      <c r="T121" s="150"/>
    </row>
    <row r="122" spans="1:20" ht="12.75" customHeight="1">
      <c r="A122" s="110" t="s">
        <v>116</v>
      </c>
      <c r="B122" s="110"/>
      <c r="C122" s="110"/>
      <c r="D122" s="110"/>
      <c r="E122" s="111"/>
      <c r="F122" s="110"/>
      <c r="G122"/>
      <c r="N122" s="112"/>
      <c r="P122" s="147"/>
      <c r="Q122" s="148"/>
      <c r="T122" s="150"/>
    </row>
    <row r="123" spans="1:20" ht="16.2" thickBot="1">
      <c r="A123" s="1"/>
      <c r="B123" s="2"/>
      <c r="C123" s="2"/>
      <c r="D123" s="3"/>
      <c r="E123" s="4"/>
      <c r="F123" s="5"/>
      <c r="G123" s="6"/>
      <c r="H123" s="7"/>
      <c r="L123" s="9" t="s">
        <v>90</v>
      </c>
      <c r="P123" s="147"/>
      <c r="Q123" s="148"/>
      <c r="T123" s="150"/>
    </row>
    <row r="124" spans="1:20" ht="16.2" thickBot="1">
      <c r="A124" s="1" t="s">
        <v>97</v>
      </c>
      <c r="B124" s="2"/>
      <c r="C124" s="2"/>
      <c r="D124" s="2"/>
      <c r="E124" s="1"/>
      <c r="F124" s="5"/>
      <c r="G124" s="6"/>
      <c r="H124" s="7"/>
      <c r="I124" s="12" t="s">
        <v>1</v>
      </c>
      <c r="J124" s="13"/>
      <c r="K124" s="13"/>
      <c r="L124" s="13"/>
      <c r="M124" s="13"/>
      <c r="N124" s="14"/>
      <c r="P124" s="147"/>
      <c r="Q124" s="148"/>
      <c r="T124" s="150"/>
    </row>
    <row r="125" spans="1:20">
      <c r="A125" s="15" t="s">
        <v>2</v>
      </c>
      <c r="B125" s="16"/>
      <c r="C125" s="16"/>
      <c r="D125" s="16"/>
      <c r="E125" s="16"/>
      <c r="F125" s="16"/>
      <c r="G125" s="16"/>
      <c r="H125" s="16"/>
      <c r="I125" s="17" t="s">
        <v>3</v>
      </c>
      <c r="J125" s="18"/>
      <c r="K125" s="19"/>
      <c r="L125" s="20" t="s">
        <v>4</v>
      </c>
      <c r="M125" s="20"/>
      <c r="N125" s="21"/>
      <c r="P125" s="147"/>
      <c r="Q125" s="148"/>
      <c r="T125" s="150"/>
    </row>
    <row r="126" spans="1:20">
      <c r="A126" s="22" t="s">
        <v>5</v>
      </c>
      <c r="B126" s="23"/>
      <c r="C126" s="24"/>
      <c r="D126" s="24"/>
      <c r="E126" s="24"/>
      <c r="F126" s="24"/>
      <c r="G126" s="24"/>
      <c r="H126" s="25"/>
      <c r="I126" s="26"/>
      <c r="J126" s="26"/>
      <c r="K126" s="27"/>
      <c r="L126" s="26" t="s">
        <v>6</v>
      </c>
      <c r="M126" s="28"/>
      <c r="N126" s="29" t="s">
        <v>7</v>
      </c>
      <c r="P126" s="147"/>
      <c r="Q126" s="148"/>
      <c r="T126" s="150"/>
    </row>
    <row r="127" spans="1:20">
      <c r="A127" s="32" t="s">
        <v>8</v>
      </c>
      <c r="I127" s="33" t="s">
        <v>9</v>
      </c>
      <c r="J127" s="2"/>
      <c r="K127" s="34"/>
      <c r="L127" s="2"/>
      <c r="M127" s="35"/>
      <c r="N127" s="36"/>
      <c r="P127" s="147"/>
      <c r="Q127" s="148"/>
      <c r="T127" s="150"/>
    </row>
    <row r="128" spans="1:20" ht="13.8" thickBot="1">
      <c r="A128" s="37" t="str">
        <f>A6</f>
        <v>(Type PI name in Year 1 cell A6 and sheet will auto-fill where needed)</v>
      </c>
      <c r="B128" s="23"/>
      <c r="C128" s="38"/>
      <c r="D128" s="38"/>
      <c r="E128" s="38"/>
      <c r="F128" s="38"/>
      <c r="G128" s="38"/>
      <c r="H128" s="38"/>
      <c r="I128" s="39"/>
      <c r="J128" s="40"/>
      <c r="K128" s="41"/>
      <c r="L128" s="42"/>
      <c r="M128" s="43"/>
      <c r="N128" s="44"/>
      <c r="P128" s="147"/>
      <c r="Q128" s="148"/>
      <c r="T128" s="150"/>
    </row>
    <row r="129" spans="1:20">
      <c r="A129" s="32" t="s">
        <v>10</v>
      </c>
      <c r="E129" s="45"/>
      <c r="G129" s="46"/>
      <c r="H129" s="47" t="s">
        <v>11</v>
      </c>
      <c r="I129" s="2"/>
      <c r="J129" s="48"/>
      <c r="K129" s="177" t="s">
        <v>12</v>
      </c>
      <c r="L129" s="178"/>
      <c r="M129" s="47" t="s">
        <v>12</v>
      </c>
      <c r="N129" s="50"/>
      <c r="P129" s="147"/>
      <c r="Q129" s="148"/>
      <c r="T129" s="150"/>
    </row>
    <row r="130" spans="1:20">
      <c r="A130" s="32"/>
      <c r="B130" s="45" t="s">
        <v>98</v>
      </c>
      <c r="G130" s="46"/>
      <c r="H130" s="51" t="s">
        <v>13</v>
      </c>
      <c r="I130" s="26"/>
      <c r="J130" s="27"/>
      <c r="K130" s="179" t="s">
        <v>14</v>
      </c>
      <c r="L130" s="180"/>
      <c r="M130" s="47" t="s">
        <v>15</v>
      </c>
      <c r="N130" s="50"/>
      <c r="P130" s="147"/>
      <c r="Q130" s="148"/>
      <c r="T130" s="150"/>
    </row>
    <row r="131" spans="1:20">
      <c r="A131" s="52"/>
      <c r="B131" s="53"/>
      <c r="C131" s="54"/>
      <c r="D131" s="38"/>
      <c r="E131" s="38"/>
      <c r="F131" s="38"/>
      <c r="G131" s="55"/>
      <c r="H131" s="56" t="s">
        <v>16</v>
      </c>
      <c r="I131" s="56" t="s">
        <v>17</v>
      </c>
      <c r="J131" s="27" t="s">
        <v>18</v>
      </c>
      <c r="K131" s="181" t="s">
        <v>19</v>
      </c>
      <c r="L131" s="182"/>
      <c r="M131" s="51" t="s">
        <v>20</v>
      </c>
      <c r="N131" s="57"/>
      <c r="P131" s="147"/>
      <c r="Q131" s="148"/>
      <c r="T131" s="150"/>
    </row>
    <row r="132" spans="1:20" ht="12.75" customHeight="1">
      <c r="A132" s="58" t="s">
        <v>21</v>
      </c>
      <c r="B132" s="59"/>
      <c r="C132" s="61" t="str">
        <f>IF($P$13&gt;=2,A67,"")</f>
        <v>(Type PI name in Year 1 cell A6 and sheet will auto-fill where needed)</v>
      </c>
      <c r="D132" s="61"/>
      <c r="E132" s="61"/>
      <c r="F132" s="61"/>
      <c r="G132" s="62"/>
      <c r="H132" s="63"/>
      <c r="I132" s="63"/>
      <c r="J132" s="63"/>
      <c r="K132" s="183">
        <f t="shared" ref="K132:K137" si="3">IF($P$13&gt;=3,ROUND(K71+(K71*$P$8),0),0)</f>
        <v>0</v>
      </c>
      <c r="L132" s="184"/>
      <c r="M132" s="64"/>
      <c r="N132" s="65"/>
      <c r="P132" s="149"/>
      <c r="Q132" s="148"/>
      <c r="T132" s="150"/>
    </row>
    <row r="133" spans="1:20" ht="12.75" customHeight="1">
      <c r="A133" s="58" t="s">
        <v>22</v>
      </c>
      <c r="B133" s="66"/>
      <c r="C133" s="61" t="str">
        <f>IF($P$13&gt;=2,IF(C11="","",C11),"")</f>
        <v/>
      </c>
      <c r="D133" s="61"/>
      <c r="E133" s="61"/>
      <c r="F133" s="61"/>
      <c r="G133" s="67"/>
      <c r="H133" s="63"/>
      <c r="I133" s="63"/>
      <c r="J133" s="63"/>
      <c r="K133" s="183">
        <f t="shared" si="3"/>
        <v>0</v>
      </c>
      <c r="L133" s="184"/>
      <c r="M133" s="54"/>
      <c r="N133" s="65"/>
      <c r="P133" s="159"/>
      <c r="Q133" s="147"/>
      <c r="T133" s="150"/>
    </row>
    <row r="134" spans="1:20" ht="12.75" customHeight="1">
      <c r="A134" s="58" t="s">
        <v>23</v>
      </c>
      <c r="B134" s="61"/>
      <c r="C134" s="61" t="str">
        <f>IF($P$13&gt;=2,IF(C12="","",C12),"")</f>
        <v/>
      </c>
      <c r="D134" s="61"/>
      <c r="E134" s="61"/>
      <c r="F134" s="61"/>
      <c r="G134" s="67"/>
      <c r="H134" s="63"/>
      <c r="I134" s="63"/>
      <c r="J134" s="63"/>
      <c r="K134" s="183">
        <f t="shared" si="3"/>
        <v>0</v>
      </c>
      <c r="L134" s="184"/>
      <c r="M134" s="54"/>
      <c r="N134" s="65"/>
      <c r="P134" s="151"/>
      <c r="T134" s="150"/>
    </row>
    <row r="135" spans="1:20" ht="12.75" customHeight="1">
      <c r="A135" s="58" t="s">
        <v>24</v>
      </c>
      <c r="B135" s="61"/>
      <c r="C135" s="61" t="str">
        <f>IF($P$13&gt;=2,IF(C13="","",C13),"")</f>
        <v/>
      </c>
      <c r="D135" s="61"/>
      <c r="E135" s="61"/>
      <c r="F135" s="61"/>
      <c r="G135" s="67"/>
      <c r="H135" s="63"/>
      <c r="I135" s="63"/>
      <c r="J135" s="63"/>
      <c r="K135" s="183">
        <f t="shared" si="3"/>
        <v>0</v>
      </c>
      <c r="L135" s="184"/>
      <c r="M135" s="54"/>
      <c r="N135" s="65"/>
      <c r="P135" s="166"/>
    </row>
    <row r="136" spans="1:20" ht="12.75" customHeight="1" thickBot="1">
      <c r="A136" s="58" t="s">
        <v>25</v>
      </c>
      <c r="B136" s="61"/>
      <c r="C136" s="61" t="str">
        <f>IF($P$13&gt;=2,IF(C14="","",C14),"")</f>
        <v/>
      </c>
      <c r="D136" s="61"/>
      <c r="E136" s="61"/>
      <c r="F136" s="61"/>
      <c r="G136" s="67"/>
      <c r="H136" s="63"/>
      <c r="I136" s="63"/>
      <c r="J136" s="63"/>
      <c r="K136" s="183">
        <f t="shared" si="3"/>
        <v>0</v>
      </c>
      <c r="L136" s="184"/>
      <c r="M136" s="54"/>
      <c r="N136" s="65"/>
      <c r="P136" s="149" t="s">
        <v>107</v>
      </c>
    </row>
    <row r="137" spans="1:20" ht="12.75" customHeight="1" thickBot="1">
      <c r="A137" s="58" t="s">
        <v>26</v>
      </c>
      <c r="B137" s="53"/>
      <c r="C137" s="38" t="s">
        <v>27</v>
      </c>
      <c r="D137" s="38"/>
      <c r="E137" s="38"/>
      <c r="F137" s="38"/>
      <c r="G137" s="55"/>
      <c r="H137" s="63"/>
      <c r="I137" s="63"/>
      <c r="J137" s="63"/>
      <c r="K137" s="183">
        <f t="shared" si="3"/>
        <v>0</v>
      </c>
      <c r="L137" s="184"/>
      <c r="M137" s="54"/>
      <c r="N137" s="65"/>
      <c r="P137" s="165"/>
    </row>
    <row r="138" spans="1:20" ht="12.75" customHeight="1">
      <c r="A138" s="58" t="s">
        <v>28</v>
      </c>
      <c r="B138" s="53"/>
      <c r="C138" s="38" t="s">
        <v>29</v>
      </c>
      <c r="D138" s="38"/>
      <c r="E138" s="38"/>
      <c r="F138" s="38"/>
      <c r="G138" s="55"/>
      <c r="H138" s="63"/>
      <c r="I138" s="63"/>
      <c r="J138" s="63"/>
      <c r="K138" s="183">
        <f>SUM(K$132:K$137)</f>
        <v>0</v>
      </c>
      <c r="L138" s="184"/>
      <c r="M138" s="54"/>
      <c r="N138" s="65"/>
    </row>
    <row r="139" spans="1:20" ht="12.75" customHeight="1">
      <c r="A139" s="69" t="s">
        <v>30</v>
      </c>
      <c r="B139" s="38"/>
      <c r="C139" s="38"/>
      <c r="D139" s="38"/>
      <c r="E139" s="38"/>
      <c r="F139" s="38"/>
      <c r="G139" s="55"/>
      <c r="H139" s="136"/>
      <c r="I139" s="136"/>
      <c r="J139" s="136"/>
      <c r="K139" s="137"/>
      <c r="L139" s="138"/>
      <c r="M139" s="139"/>
      <c r="N139" s="140"/>
      <c r="P139" t="s">
        <v>106</v>
      </c>
    </row>
    <row r="140" spans="1:20" ht="12.75" customHeight="1">
      <c r="A140" s="58" t="s">
        <v>31</v>
      </c>
      <c r="B140" s="53"/>
      <c r="C140" s="38" t="s">
        <v>32</v>
      </c>
      <c r="D140" s="38"/>
      <c r="E140" s="38"/>
      <c r="F140" s="38"/>
      <c r="G140" s="55"/>
      <c r="H140" s="63"/>
      <c r="I140" s="63"/>
      <c r="J140" s="63"/>
      <c r="K140" s="183">
        <f t="shared" ref="K140:K145" si="4">IF($P$13&gt;=3,ROUND(K79+(K79*$P$8),0),0)</f>
        <v>0</v>
      </c>
      <c r="L140" s="184"/>
      <c r="M140" s="54"/>
      <c r="N140" s="65"/>
      <c r="P140" s="160">
        <v>0.41</v>
      </c>
      <c r="Q140" t="s">
        <v>108</v>
      </c>
    </row>
    <row r="141" spans="1:20" ht="12.75" customHeight="1">
      <c r="A141" s="58" t="s">
        <v>33</v>
      </c>
      <c r="B141" s="53"/>
      <c r="C141" s="38" t="s">
        <v>34</v>
      </c>
      <c r="D141" s="38"/>
      <c r="E141" s="38"/>
      <c r="F141" s="38"/>
      <c r="G141" s="38"/>
      <c r="H141" s="70"/>
      <c r="I141" s="70"/>
      <c r="J141" s="71"/>
      <c r="K141" s="183">
        <f t="shared" si="4"/>
        <v>0</v>
      </c>
      <c r="L141" s="184"/>
      <c r="M141" s="54"/>
      <c r="N141" s="65"/>
      <c r="P141" s="161">
        <v>7.6499999999999999E-2</v>
      </c>
      <c r="Q141" t="s">
        <v>109</v>
      </c>
    </row>
    <row r="142" spans="1:20" ht="12.75" customHeight="1">
      <c r="A142" s="58" t="s">
        <v>35</v>
      </c>
      <c r="B142" s="53"/>
      <c r="C142" s="61" t="s">
        <v>36</v>
      </c>
      <c r="D142" s="38"/>
      <c r="E142" s="38"/>
      <c r="F142" s="72"/>
      <c r="G142" s="38"/>
      <c r="H142" s="73"/>
      <c r="I142" s="73"/>
      <c r="J142" s="74"/>
      <c r="K142" s="183">
        <f t="shared" si="4"/>
        <v>0</v>
      </c>
      <c r="L142" s="184"/>
      <c r="M142" s="54"/>
      <c r="N142" s="65"/>
    </row>
    <row r="143" spans="1:20" ht="20.399999999999999" customHeight="1">
      <c r="A143" s="58" t="s">
        <v>37</v>
      </c>
      <c r="B143" s="53"/>
      <c r="C143" s="61" t="s">
        <v>38</v>
      </c>
      <c r="D143" s="38"/>
      <c r="E143" s="38"/>
      <c r="F143" s="72"/>
      <c r="G143" s="38"/>
      <c r="H143" s="73"/>
      <c r="I143" s="73"/>
      <c r="J143" s="74"/>
      <c r="K143" s="183">
        <f t="shared" si="4"/>
        <v>0</v>
      </c>
      <c r="L143" s="184"/>
      <c r="M143" s="54"/>
      <c r="N143" s="65"/>
      <c r="P143" s="170" t="s">
        <v>126</v>
      </c>
      <c r="Q143" s="173" t="s">
        <v>135</v>
      </c>
      <c r="R143" s="169"/>
    </row>
    <row r="144" spans="1:20" ht="12.75" customHeight="1">
      <c r="A144" s="58" t="s">
        <v>39</v>
      </c>
      <c r="B144" s="53"/>
      <c r="C144" s="61" t="s">
        <v>40</v>
      </c>
      <c r="D144" s="38"/>
      <c r="E144" s="38"/>
      <c r="F144" s="38"/>
      <c r="G144" s="38"/>
      <c r="H144" s="38"/>
      <c r="I144" s="38"/>
      <c r="J144" s="55"/>
      <c r="K144" s="183">
        <f t="shared" si="4"/>
        <v>0</v>
      </c>
      <c r="L144" s="184"/>
      <c r="M144" s="54"/>
      <c r="N144" s="65"/>
      <c r="P144" s="168" t="s">
        <v>127</v>
      </c>
      <c r="Q144" s="171">
        <f>IF($P$13&gt;=2,Q84,"")</f>
        <v>0</v>
      </c>
      <c r="R144" s="172">
        <f>IF($P$13&gt;2,(Q144/12)*2162,"")</f>
        <v>0</v>
      </c>
    </row>
    <row r="145" spans="1:18" ht="12.75" customHeight="1">
      <c r="A145" s="58" t="s">
        <v>26</v>
      </c>
      <c r="B145" s="53"/>
      <c r="C145" s="61" t="s">
        <v>41</v>
      </c>
      <c r="D145" s="38"/>
      <c r="E145" s="38"/>
      <c r="F145" s="38"/>
      <c r="G145" s="38"/>
      <c r="H145" s="38"/>
      <c r="I145" s="38"/>
      <c r="J145" s="55"/>
      <c r="K145" s="183">
        <f t="shared" si="4"/>
        <v>0</v>
      </c>
      <c r="L145" s="184"/>
      <c r="M145" s="54"/>
      <c r="N145" s="65"/>
      <c r="P145" s="168" t="s">
        <v>128</v>
      </c>
      <c r="Q145" s="171">
        <f t="shared" ref="Q145:Q146" si="5">IF($P$13&gt;=2,Q85,"")</f>
        <v>0</v>
      </c>
      <c r="R145" s="172">
        <f>IF($P$13&gt;2,(Q145/9)*1730,"")</f>
        <v>0</v>
      </c>
    </row>
    <row r="146" spans="1:18" ht="12.75" customHeight="1">
      <c r="A146" s="58"/>
      <c r="B146" s="61" t="s">
        <v>42</v>
      </c>
      <c r="C146" s="61"/>
      <c r="D146" s="38"/>
      <c r="E146" s="38"/>
      <c r="F146" s="38"/>
      <c r="G146" s="38"/>
      <c r="H146" s="38"/>
      <c r="I146" s="38"/>
      <c r="J146" s="55"/>
      <c r="K146" s="183">
        <f>K$138+SUM(K$140:K$145)</f>
        <v>0</v>
      </c>
      <c r="L146" s="184"/>
      <c r="M146" s="54"/>
      <c r="N146" s="65"/>
      <c r="P146" s="168" t="s">
        <v>129</v>
      </c>
      <c r="Q146" s="171">
        <f t="shared" si="5"/>
        <v>0</v>
      </c>
      <c r="R146" s="172">
        <f>IF($P$13&gt;2,(Q146/3)*432,"")</f>
        <v>0</v>
      </c>
    </row>
    <row r="147" spans="1:18" ht="12.75" customHeight="1">
      <c r="A147" s="69" t="s">
        <v>43</v>
      </c>
      <c r="B147" s="38"/>
      <c r="C147" s="38"/>
      <c r="D147" s="38"/>
      <c r="E147" s="38"/>
      <c r="F147" s="38"/>
      <c r="G147" s="75" t="s">
        <v>44</v>
      </c>
      <c r="H147" s="76"/>
      <c r="I147" s="38"/>
      <c r="J147" s="55"/>
      <c r="K147" s="185">
        <f>IF(P13&gt;2,ROUND(((K146-K143-K142-P137)*P140)+(P137*P141)+R147,0),0)</f>
        <v>0</v>
      </c>
      <c r="L147" s="186"/>
      <c r="M147" s="54"/>
      <c r="N147" s="65"/>
      <c r="P147" s="169"/>
      <c r="Q147" s="169"/>
      <c r="R147" s="172">
        <f>IF($P$13&gt;2,SUM(R144:R146),"")</f>
        <v>0</v>
      </c>
    </row>
    <row r="148" spans="1:18" ht="12.75" customHeight="1">
      <c r="A148" s="69"/>
      <c r="B148" s="61" t="s">
        <v>45</v>
      </c>
      <c r="C148" s="38"/>
      <c r="D148" s="38"/>
      <c r="E148" s="38"/>
      <c r="F148" s="38"/>
      <c r="G148" s="38"/>
      <c r="H148" s="38"/>
      <c r="I148" s="38"/>
      <c r="J148" s="55"/>
      <c r="K148" s="183">
        <f>K$146+K$147</f>
        <v>0</v>
      </c>
      <c r="L148" s="184"/>
      <c r="M148" s="54"/>
      <c r="N148" s="65"/>
    </row>
    <row r="149" spans="1:18" ht="12.75" customHeight="1">
      <c r="A149" s="32" t="s">
        <v>46</v>
      </c>
      <c r="J149" s="46"/>
      <c r="K149" s="134"/>
      <c r="L149" s="141"/>
      <c r="M149" s="134"/>
      <c r="N149" s="135"/>
    </row>
    <row r="150" spans="1:18" ht="12.75" customHeight="1">
      <c r="A150" s="32"/>
      <c r="B150" s="77"/>
      <c r="C150" s="143"/>
      <c r="H150" s="78"/>
      <c r="I150" s="2"/>
      <c r="J150" s="46"/>
      <c r="K150" s="134"/>
      <c r="L150" s="141"/>
      <c r="M150" s="134"/>
      <c r="N150" s="135"/>
    </row>
    <row r="151" spans="1:18" ht="12.75" customHeight="1">
      <c r="A151" s="32"/>
      <c r="B151" s="79"/>
      <c r="J151" s="46"/>
      <c r="K151" s="134"/>
      <c r="L151" s="141"/>
      <c r="M151" s="134"/>
      <c r="N151" s="135"/>
    </row>
    <row r="152" spans="1:18" ht="12.75" customHeight="1">
      <c r="A152" s="32"/>
      <c r="J152" s="46"/>
      <c r="K152" s="134"/>
      <c r="L152" s="141"/>
      <c r="M152" s="134"/>
      <c r="N152" s="135"/>
    </row>
    <row r="153" spans="1:18" ht="12.75" customHeight="1">
      <c r="A153" s="69"/>
      <c r="B153" s="61" t="s">
        <v>47</v>
      </c>
      <c r="C153" s="38"/>
      <c r="D153" s="38"/>
      <c r="E153" s="38"/>
      <c r="F153" s="38"/>
      <c r="G153" s="38"/>
      <c r="H153" s="38"/>
      <c r="I153" s="38"/>
      <c r="J153" s="55"/>
      <c r="K153" s="183"/>
      <c r="L153" s="184"/>
      <c r="M153" s="80"/>
      <c r="N153" s="81"/>
    </row>
    <row r="154" spans="1:18" ht="12.75" customHeight="1">
      <c r="A154" s="69" t="s">
        <v>48</v>
      </c>
      <c r="B154" s="38"/>
      <c r="C154" s="38"/>
      <c r="D154" s="38" t="s">
        <v>124</v>
      </c>
      <c r="E154" s="38"/>
      <c r="F154" s="38"/>
      <c r="G154" s="38"/>
      <c r="H154" s="38"/>
      <c r="I154" s="38"/>
      <c r="J154" s="55"/>
      <c r="K154" s="183">
        <f>IF($P$13&gt;=3,ROUND(K93+(K93*$P$11),0),0)</f>
        <v>0</v>
      </c>
      <c r="L154" s="184"/>
      <c r="M154" s="54"/>
      <c r="N154" s="65"/>
    </row>
    <row r="155" spans="1:18" ht="12.75" customHeight="1">
      <c r="A155" s="69"/>
      <c r="B155" s="38"/>
      <c r="C155" s="38"/>
      <c r="D155" s="38" t="s">
        <v>49</v>
      </c>
      <c r="E155" s="38"/>
      <c r="F155" s="38"/>
      <c r="G155" s="38"/>
      <c r="H155" s="38"/>
      <c r="I155" s="38"/>
      <c r="J155" s="55"/>
      <c r="K155" s="183">
        <f>IF($P$13&gt;=3,ROUND(K94+(K94*$P$11),0),0)</f>
        <v>0</v>
      </c>
      <c r="L155" s="184"/>
      <c r="M155" s="54"/>
      <c r="N155" s="65"/>
    </row>
    <row r="156" spans="1:18" ht="12.75" customHeight="1">
      <c r="A156" s="32" t="s">
        <v>50</v>
      </c>
      <c r="J156" s="46"/>
      <c r="K156" s="134"/>
      <c r="L156" s="141"/>
      <c r="M156" s="134"/>
      <c r="N156" s="135"/>
    </row>
    <row r="157" spans="1:18" ht="12.75" customHeight="1">
      <c r="A157" s="32"/>
      <c r="B157" s="8" t="s">
        <v>51</v>
      </c>
      <c r="D157" s="82"/>
      <c r="E157" s="83"/>
      <c r="J157" s="46"/>
      <c r="K157" s="134"/>
      <c r="L157" s="141"/>
      <c r="M157" s="134"/>
      <c r="N157" s="135"/>
    </row>
    <row r="158" spans="1:18" ht="12.75" customHeight="1">
      <c r="A158" s="32"/>
      <c r="B158" s="8" t="s">
        <v>52</v>
      </c>
      <c r="E158" s="83"/>
      <c r="J158" s="46"/>
      <c r="K158" s="134"/>
      <c r="L158" s="141"/>
      <c r="M158" s="134"/>
      <c r="N158" s="135"/>
    </row>
    <row r="159" spans="1:18" ht="12.75" customHeight="1">
      <c r="A159" s="32"/>
      <c r="B159" s="8" t="s">
        <v>53</v>
      </c>
      <c r="E159" s="83"/>
      <c r="J159" s="46"/>
      <c r="K159" s="134"/>
      <c r="L159" s="141"/>
      <c r="M159" s="134"/>
      <c r="N159" s="135"/>
    </row>
    <row r="160" spans="1:18" ht="12.75" customHeight="1">
      <c r="A160" s="32"/>
      <c r="B160" s="8" t="s">
        <v>54</v>
      </c>
      <c r="E160" s="83"/>
      <c r="J160" s="46"/>
      <c r="K160" s="134"/>
      <c r="L160" s="141"/>
      <c r="M160" s="134"/>
      <c r="N160" s="135"/>
    </row>
    <row r="161" spans="1:18" ht="12.75" customHeight="1">
      <c r="A161" s="69"/>
      <c r="B161" s="38"/>
      <c r="C161" s="38"/>
      <c r="D161" s="38"/>
      <c r="E161" s="38"/>
      <c r="F161" s="38"/>
      <c r="G161" s="38"/>
      <c r="H161" s="38"/>
      <c r="I161" s="38"/>
      <c r="J161" s="55"/>
      <c r="K161" s="139"/>
      <c r="L161" s="142"/>
      <c r="M161" s="139"/>
      <c r="N161" s="140"/>
    </row>
    <row r="162" spans="1:18" ht="12.75" customHeight="1">
      <c r="A162" s="58" t="s">
        <v>100</v>
      </c>
      <c r="B162" s="61"/>
      <c r="C162" s="61"/>
      <c r="D162" s="38"/>
      <c r="E162" s="38"/>
      <c r="F162" s="144"/>
      <c r="G162" s="38"/>
      <c r="H162" s="38"/>
      <c r="I162" s="38"/>
      <c r="J162" s="145" t="s">
        <v>99</v>
      </c>
      <c r="K162" s="183">
        <f>SUM($E$157:$E$160)</f>
        <v>0</v>
      </c>
      <c r="L162" s="184"/>
      <c r="M162" s="54"/>
      <c r="N162" s="65"/>
    </row>
    <row r="163" spans="1:18" ht="12.75" customHeight="1">
      <c r="A163" s="69" t="s">
        <v>55</v>
      </c>
      <c r="B163" s="38"/>
      <c r="C163" s="38"/>
      <c r="D163" s="38"/>
      <c r="E163" s="38"/>
      <c r="F163" s="38"/>
      <c r="G163" s="38"/>
      <c r="H163" s="38"/>
      <c r="I163" s="38"/>
      <c r="J163" s="55"/>
      <c r="K163" s="139"/>
      <c r="L163" s="142"/>
      <c r="M163" s="139"/>
      <c r="N163" s="140"/>
    </row>
    <row r="164" spans="1:18" ht="12.75" customHeight="1">
      <c r="A164" s="69"/>
      <c r="B164" s="38" t="s">
        <v>56</v>
      </c>
      <c r="C164" s="38"/>
      <c r="D164" s="38"/>
      <c r="E164" s="38"/>
      <c r="F164" s="38"/>
      <c r="G164" s="38"/>
      <c r="H164" s="38"/>
      <c r="I164" s="38"/>
      <c r="J164" s="55"/>
      <c r="K164" s="183">
        <f>IF($P$13&gt;=3,ROUND(K103+(K103*$P$11),0),0)</f>
        <v>0</v>
      </c>
      <c r="L164" s="184"/>
      <c r="M164" s="54"/>
      <c r="N164" s="65"/>
    </row>
    <row r="165" spans="1:18" ht="12.75" customHeight="1">
      <c r="A165" s="69"/>
      <c r="B165" s="38" t="s">
        <v>57</v>
      </c>
      <c r="C165" s="38"/>
      <c r="D165" s="38"/>
      <c r="E165" s="38"/>
      <c r="F165" s="38"/>
      <c r="G165" s="38"/>
      <c r="H165" s="38"/>
      <c r="I165" s="38"/>
      <c r="J165" s="55"/>
      <c r="K165" s="183">
        <f>IF($P$13&gt;=3,ROUND(K104+(K104*$P$11),0),0)</f>
        <v>0</v>
      </c>
      <c r="L165" s="184"/>
      <c r="M165" s="54"/>
      <c r="N165" s="65"/>
    </row>
    <row r="166" spans="1:18" ht="12.75" customHeight="1">
      <c r="A166" s="69"/>
      <c r="B166" s="38" t="s">
        <v>58</v>
      </c>
      <c r="C166" s="38"/>
      <c r="D166" s="38"/>
      <c r="E166" s="38"/>
      <c r="F166" s="38"/>
      <c r="G166" s="38"/>
      <c r="H166" s="38"/>
      <c r="I166" s="38"/>
      <c r="J166" s="55"/>
      <c r="K166" s="183">
        <f>IF($P$13&gt;=3,ROUND(K105+(K105*$P$11),0),0)</f>
        <v>0</v>
      </c>
      <c r="L166" s="184"/>
      <c r="M166" s="54"/>
      <c r="N166" s="65"/>
      <c r="P166" s="86" t="s">
        <v>63</v>
      </c>
      <c r="R166" s="85" t="s">
        <v>61</v>
      </c>
    </row>
    <row r="167" spans="1:18" ht="12.75" customHeight="1">
      <c r="A167" s="69"/>
      <c r="B167" s="38" t="s">
        <v>59</v>
      </c>
      <c r="C167" s="38"/>
      <c r="D167" s="38"/>
      <c r="E167" s="38"/>
      <c r="F167" s="38"/>
      <c r="G167" s="38"/>
      <c r="H167" s="38"/>
      <c r="I167" s="38"/>
      <c r="J167" s="55"/>
      <c r="K167" s="183">
        <f>IF($P$13&gt;=3,ROUND(K106+(K106*$P$11),0),0)</f>
        <v>0</v>
      </c>
      <c r="L167" s="184"/>
      <c r="M167" s="54"/>
      <c r="N167" s="65"/>
      <c r="P167" s="86" t="s">
        <v>66</v>
      </c>
      <c r="Q167" s="87" t="s">
        <v>91</v>
      </c>
      <c r="R167" s="85" t="s">
        <v>64</v>
      </c>
    </row>
    <row r="168" spans="1:18" ht="12.75" customHeight="1">
      <c r="A168" s="69"/>
      <c r="B168" s="38" t="s">
        <v>60</v>
      </c>
      <c r="C168" s="38"/>
      <c r="D168" s="38"/>
      <c r="E168" s="38"/>
      <c r="F168" s="38"/>
      <c r="G168" s="38"/>
      <c r="H168" s="38"/>
      <c r="I168" s="38"/>
      <c r="J168" s="55"/>
      <c r="K168" s="183">
        <f>SUM(Q168:Q171)</f>
        <v>0</v>
      </c>
      <c r="L168" s="184"/>
      <c r="M168" s="54"/>
      <c r="N168" s="65"/>
      <c r="P168" s="88" t="s">
        <v>70</v>
      </c>
      <c r="Q168" s="89"/>
      <c r="R168" s="85" t="s">
        <v>68</v>
      </c>
    </row>
    <row r="169" spans="1:18" ht="12.75" customHeight="1">
      <c r="A169" s="69"/>
      <c r="B169" s="38" t="s">
        <v>62</v>
      </c>
      <c r="C169" s="38"/>
      <c r="D169" s="38"/>
      <c r="E169" s="38"/>
      <c r="F169" s="72"/>
      <c r="G169" s="38"/>
      <c r="H169" s="38"/>
      <c r="I169" s="38"/>
      <c r="J169" s="55"/>
      <c r="K169" s="183">
        <f>Q175+Q176</f>
        <v>0</v>
      </c>
      <c r="L169" s="184"/>
      <c r="M169" s="54"/>
      <c r="N169" s="65"/>
      <c r="P169" s="92" t="s">
        <v>72</v>
      </c>
      <c r="Q169" s="93"/>
      <c r="R169" s="90">
        <f>IF(Q168+R47+R108&gt;=25000,25000-(R47+R108),Q168)</f>
        <v>0</v>
      </c>
    </row>
    <row r="170" spans="1:18" ht="12.75" customHeight="1">
      <c r="A170" s="69"/>
      <c r="B170" s="38"/>
      <c r="C170" s="38" t="s">
        <v>65</v>
      </c>
      <c r="D170" s="38"/>
      <c r="E170" s="38"/>
      <c r="F170" s="38"/>
      <c r="G170" s="38"/>
      <c r="H170" s="38"/>
      <c r="I170" s="38"/>
      <c r="J170" s="55"/>
      <c r="K170" s="183">
        <f>SUM(K$164:K$169)</f>
        <v>0</v>
      </c>
      <c r="L170" s="184"/>
      <c r="M170" s="54"/>
      <c r="N170" s="65"/>
      <c r="P170" s="92" t="s">
        <v>74</v>
      </c>
      <c r="Q170" s="93"/>
      <c r="R170" s="90">
        <f>IF(Q169+R48+R109&gt;=25000,25000-(R48+R109),Q169)</f>
        <v>0</v>
      </c>
    </row>
    <row r="171" spans="1:18" ht="12.75" customHeight="1">
      <c r="A171" s="69" t="s">
        <v>69</v>
      </c>
      <c r="B171" s="38"/>
      <c r="C171" s="38"/>
      <c r="D171" s="38"/>
      <c r="E171" s="38"/>
      <c r="F171" s="38"/>
      <c r="G171" s="38"/>
      <c r="H171" s="38"/>
      <c r="I171" s="38"/>
      <c r="J171" s="55"/>
      <c r="K171" s="183">
        <f>K$148+SUM(K$153:K$155)+K$162+K$170</f>
        <v>0</v>
      </c>
      <c r="L171" s="184"/>
      <c r="M171" s="54"/>
      <c r="N171" s="65"/>
      <c r="P171" s="98" t="s">
        <v>77</v>
      </c>
      <c r="Q171" s="99"/>
      <c r="R171" s="90">
        <f>IF(Q170+R49+R110&gt;=25000,25000-(R49+R110),Q170)</f>
        <v>0</v>
      </c>
    </row>
    <row r="172" spans="1:18" ht="12.75" customHeight="1">
      <c r="A172" s="32" t="s">
        <v>71</v>
      </c>
      <c r="J172" s="46"/>
      <c r="K172" s="132"/>
      <c r="L172" s="133"/>
      <c r="M172" s="134"/>
      <c r="N172" s="135"/>
      <c r="R172" s="90">
        <f>IF(Q171+R50+R111&gt;=25000,25000-(R50+R111),Q171)</f>
        <v>0</v>
      </c>
    </row>
    <row r="173" spans="1:18" ht="12.75" customHeight="1">
      <c r="A173" s="94" t="s">
        <v>73</v>
      </c>
      <c r="B173" s="113"/>
      <c r="C173" s="113"/>
      <c r="D173" s="113"/>
      <c r="E173" s="114"/>
      <c r="F173" s="114"/>
      <c r="G173" s="187">
        <f>IF(R169&gt;25000,"25000",R169)+IF(R170&gt;25000,"25000",R170)+IF(R171&gt;25000,"25000",R171)+IF(R172&gt;25000,"25000",R172)+K171-K153-K162-K168-Q175</f>
        <v>0</v>
      </c>
      <c r="H173" s="187"/>
      <c r="J173" s="46"/>
      <c r="K173" s="132"/>
      <c r="L173" s="133"/>
      <c r="M173" s="134"/>
      <c r="N173" s="135"/>
      <c r="P173" s="149" t="s">
        <v>114</v>
      </c>
    </row>
    <row r="174" spans="1:18" ht="12.75" customHeight="1">
      <c r="A174" s="69" t="s">
        <v>75</v>
      </c>
      <c r="B174" s="38"/>
      <c r="C174" s="38"/>
      <c r="D174" s="38"/>
      <c r="E174" s="38"/>
      <c r="F174" s="38"/>
      <c r="G174" s="75" t="s">
        <v>76</v>
      </c>
      <c r="H174" s="95">
        <f>IF(P13&gt;2,H52,0)</f>
        <v>0.5</v>
      </c>
      <c r="I174" s="38"/>
      <c r="J174" s="55"/>
      <c r="K174" s="183">
        <f>ROUND($G$173 * $H$174,0)</f>
        <v>0</v>
      </c>
      <c r="L174" s="184"/>
      <c r="M174" s="96"/>
      <c r="N174" s="97"/>
      <c r="P174" s="149" t="s">
        <v>113</v>
      </c>
      <c r="Q174" s="162" t="s">
        <v>91</v>
      </c>
    </row>
    <row r="175" spans="1:18" ht="12.75" customHeight="1">
      <c r="A175" s="69" t="s">
        <v>78</v>
      </c>
      <c r="B175" s="38"/>
      <c r="C175" s="38"/>
      <c r="D175" s="38"/>
      <c r="E175" s="38"/>
      <c r="F175" s="38"/>
      <c r="G175" s="38"/>
      <c r="H175" s="38"/>
      <c r="I175" s="38"/>
      <c r="J175" s="55"/>
      <c r="K175" s="183">
        <f>K$171+K$174</f>
        <v>0</v>
      </c>
      <c r="L175" s="184"/>
      <c r="M175" s="54"/>
      <c r="N175" s="65"/>
      <c r="P175" s="162" t="s">
        <v>111</v>
      </c>
      <c r="Q175" s="164">
        <f>IF(P13&gt;2,ROUND(K142*R176,0),0)</f>
        <v>0</v>
      </c>
    </row>
    <row r="176" spans="1:18" ht="12.75" customHeight="1">
      <c r="A176" s="69" t="s">
        <v>79</v>
      </c>
      <c r="B176" s="38"/>
      <c r="C176" s="38"/>
      <c r="D176" s="38"/>
      <c r="E176" s="38"/>
      <c r="F176" s="38"/>
      <c r="G176" s="38"/>
      <c r="H176" s="38"/>
      <c r="I176" s="38"/>
      <c r="J176" s="55"/>
      <c r="K176" s="183"/>
      <c r="L176" s="184"/>
      <c r="M176" s="54"/>
      <c r="N176" s="65"/>
      <c r="P176" s="162" t="s">
        <v>112</v>
      </c>
      <c r="Q176" s="164">
        <f>IF($P$13&gt;=3,ROUND(Q115+(Q115*$P$11),0),0)</f>
        <v>0</v>
      </c>
      <c r="R176" s="160">
        <v>0.38</v>
      </c>
    </row>
    <row r="177" spans="1:14" ht="12.75" customHeight="1" thickBot="1">
      <c r="A177" s="101" t="s">
        <v>80</v>
      </c>
      <c r="B177" s="40"/>
      <c r="C177" s="40"/>
      <c r="D177" s="40"/>
      <c r="E177" s="40"/>
      <c r="F177" s="40"/>
      <c r="G177" s="40"/>
      <c r="H177" s="40"/>
      <c r="I177" s="40"/>
      <c r="J177" s="41"/>
      <c r="K177" s="188">
        <f>K$175-K$176</f>
        <v>0</v>
      </c>
      <c r="L177" s="189"/>
      <c r="M177" s="104"/>
      <c r="N177" s="105"/>
    </row>
    <row r="178" spans="1:14" ht="12.75" customHeight="1" thickBot="1">
      <c r="A178" s="101" t="s">
        <v>81</v>
      </c>
      <c r="B178" s="40"/>
      <c r="C178" s="40"/>
      <c r="D178" s="40"/>
      <c r="E178" s="40"/>
      <c r="F178" s="102"/>
      <c r="G178" s="106" t="s">
        <v>82</v>
      </c>
      <c r="H178" s="40"/>
      <c r="I178" s="40"/>
      <c r="J178" s="42"/>
      <c r="K178" s="102"/>
      <c r="L178" s="102"/>
      <c r="M178" s="42"/>
      <c r="N178" s="107"/>
    </row>
    <row r="179" spans="1:14" ht="12.75" customHeight="1">
      <c r="A179" s="32" t="s">
        <v>121</v>
      </c>
      <c r="F179" s="46"/>
      <c r="G179" s="36" t="s">
        <v>83</v>
      </c>
      <c r="H179" s="108" t="s">
        <v>1</v>
      </c>
      <c r="I179" s="26"/>
      <c r="J179" s="26"/>
      <c r="K179" s="26"/>
      <c r="L179" s="26"/>
      <c r="M179" s="26"/>
      <c r="N179" s="57"/>
    </row>
    <row r="180" spans="1:14" ht="12.75" customHeight="1">
      <c r="A180" s="69" t="str">
        <f>A6</f>
        <v>(Type PI name in Year 1 cell A6 and sheet will auto-fill where needed)</v>
      </c>
      <c r="B180" s="38"/>
      <c r="C180" s="38"/>
      <c r="D180" s="38"/>
      <c r="E180" s="38"/>
      <c r="F180" s="61"/>
      <c r="G180" s="109"/>
      <c r="H180" s="26" t="s">
        <v>84</v>
      </c>
      <c r="I180" s="26"/>
      <c r="J180" s="26"/>
      <c r="K180" s="26"/>
      <c r="L180" s="26"/>
      <c r="M180" s="26"/>
      <c r="N180" s="57"/>
    </row>
    <row r="181" spans="1:14" ht="12.75" customHeight="1">
      <c r="A181" s="32" t="s">
        <v>120</v>
      </c>
      <c r="F181" s="46"/>
      <c r="G181" s="36" t="s">
        <v>83</v>
      </c>
      <c r="H181" s="2" t="s">
        <v>85</v>
      </c>
      <c r="I181" s="35"/>
      <c r="J181" s="2" t="s">
        <v>86</v>
      </c>
      <c r="K181" s="2"/>
      <c r="L181" s="35"/>
      <c r="M181" s="2" t="s">
        <v>87</v>
      </c>
      <c r="N181" s="50"/>
    </row>
    <row r="182" spans="1:14" ht="12.75" customHeight="1" thickBot="1">
      <c r="A182" s="101" t="str">
        <f>A60</f>
        <v>Darya Courville, Executive Director, Sponsored Programs</v>
      </c>
      <c r="B182" s="40"/>
      <c r="C182" s="40"/>
      <c r="D182" s="40"/>
      <c r="E182" s="40"/>
      <c r="F182" s="41"/>
      <c r="G182" s="44"/>
      <c r="H182" s="40"/>
      <c r="I182" s="41"/>
      <c r="J182" s="40"/>
      <c r="K182" s="40"/>
      <c r="L182" s="41"/>
      <c r="M182" s="40"/>
      <c r="N182" s="44"/>
    </row>
    <row r="183" spans="1:14" ht="12.75" customHeight="1">
      <c r="A183" s="110" t="s">
        <v>116</v>
      </c>
      <c r="B183" s="110"/>
      <c r="C183" s="110"/>
      <c r="D183" s="110"/>
      <c r="E183" s="111"/>
      <c r="F183" s="110"/>
      <c r="G183"/>
      <c r="N183" s="112"/>
    </row>
    <row r="184" spans="1:14" ht="16.2" thickBot="1">
      <c r="A184" s="1"/>
      <c r="B184" s="2"/>
      <c r="C184" s="2"/>
      <c r="D184" s="3"/>
      <c r="E184" s="4"/>
      <c r="F184" s="5"/>
      <c r="G184" s="6"/>
      <c r="H184" s="7"/>
      <c r="L184" s="9" t="s">
        <v>92</v>
      </c>
    </row>
    <row r="185" spans="1:14" ht="16.2" thickBot="1">
      <c r="A185" s="1" t="s">
        <v>97</v>
      </c>
      <c r="B185" s="2"/>
      <c r="C185" s="2"/>
      <c r="D185" s="2"/>
      <c r="E185" s="1"/>
      <c r="F185" s="5"/>
      <c r="G185" s="6"/>
      <c r="H185" s="7"/>
      <c r="I185" s="12" t="s">
        <v>1</v>
      </c>
      <c r="J185" s="13"/>
      <c r="K185" s="13"/>
      <c r="L185" s="13"/>
      <c r="M185" s="13"/>
      <c r="N185" s="14"/>
    </row>
    <row r="186" spans="1:14">
      <c r="A186" s="15" t="s">
        <v>2</v>
      </c>
      <c r="B186" s="16"/>
      <c r="C186" s="16"/>
      <c r="D186" s="16"/>
      <c r="E186" s="16"/>
      <c r="F186" s="16"/>
      <c r="G186" s="16"/>
      <c r="H186" s="16"/>
      <c r="I186" s="17" t="s">
        <v>3</v>
      </c>
      <c r="J186" s="18"/>
      <c r="K186" s="19"/>
      <c r="L186" s="20" t="s">
        <v>4</v>
      </c>
      <c r="M186" s="20"/>
      <c r="N186" s="21"/>
    </row>
    <row r="187" spans="1:14">
      <c r="A187" s="22" t="s">
        <v>5</v>
      </c>
      <c r="B187" s="23"/>
      <c r="C187" s="24"/>
      <c r="D187" s="24"/>
      <c r="E187" s="24"/>
      <c r="F187" s="24"/>
      <c r="G187" s="24"/>
      <c r="H187" s="25"/>
      <c r="I187" s="26"/>
      <c r="J187" s="26"/>
      <c r="K187" s="27"/>
      <c r="L187" s="26" t="s">
        <v>6</v>
      </c>
      <c r="M187" s="28"/>
      <c r="N187" s="29" t="s">
        <v>7</v>
      </c>
    </row>
    <row r="188" spans="1:14">
      <c r="A188" s="32" t="s">
        <v>8</v>
      </c>
      <c r="I188" s="33" t="s">
        <v>9</v>
      </c>
      <c r="J188" s="2"/>
      <c r="K188" s="34"/>
      <c r="L188" s="2"/>
      <c r="M188" s="35"/>
      <c r="N188" s="36"/>
    </row>
    <row r="189" spans="1:14" ht="13.8" thickBot="1">
      <c r="A189" s="37" t="str">
        <f>A6</f>
        <v>(Type PI name in Year 1 cell A6 and sheet will auto-fill where needed)</v>
      </c>
      <c r="B189" s="23"/>
      <c r="C189" s="38"/>
      <c r="D189" s="38"/>
      <c r="E189" s="38"/>
      <c r="F189" s="38"/>
      <c r="G189" s="38"/>
      <c r="H189" s="38"/>
      <c r="I189" s="39"/>
      <c r="J189" s="40"/>
      <c r="K189" s="41"/>
      <c r="L189" s="42"/>
      <c r="M189" s="43"/>
      <c r="N189" s="44"/>
    </row>
    <row r="190" spans="1:14">
      <c r="A190" s="32" t="s">
        <v>10</v>
      </c>
      <c r="E190" s="45"/>
      <c r="G190" s="46"/>
      <c r="H190" s="47" t="s">
        <v>11</v>
      </c>
      <c r="I190" s="2"/>
      <c r="J190" s="48"/>
      <c r="K190" s="177" t="s">
        <v>12</v>
      </c>
      <c r="L190" s="178"/>
      <c r="M190" s="47" t="s">
        <v>12</v>
      </c>
      <c r="N190" s="50"/>
    </row>
    <row r="191" spans="1:14">
      <c r="A191" s="32"/>
      <c r="B191" s="45" t="s">
        <v>98</v>
      </c>
      <c r="G191" s="46"/>
      <c r="H191" s="51" t="s">
        <v>13</v>
      </c>
      <c r="I191" s="26"/>
      <c r="J191" s="27"/>
      <c r="K191" s="179" t="s">
        <v>14</v>
      </c>
      <c r="L191" s="180"/>
      <c r="M191" s="47" t="s">
        <v>15</v>
      </c>
      <c r="N191" s="50"/>
    </row>
    <row r="192" spans="1:14">
      <c r="A192" s="52"/>
      <c r="B192" s="53"/>
      <c r="C192" s="54"/>
      <c r="D192" s="38"/>
      <c r="E192" s="38"/>
      <c r="F192" s="38"/>
      <c r="G192" s="55"/>
      <c r="H192" s="56" t="s">
        <v>16</v>
      </c>
      <c r="I192" s="56" t="s">
        <v>17</v>
      </c>
      <c r="J192" s="27" t="s">
        <v>18</v>
      </c>
      <c r="K192" s="181" t="s">
        <v>19</v>
      </c>
      <c r="L192" s="182"/>
      <c r="M192" s="51" t="s">
        <v>20</v>
      </c>
      <c r="N192" s="57"/>
    </row>
    <row r="193" spans="1:18" ht="12.75" customHeight="1">
      <c r="A193" s="58" t="s">
        <v>21</v>
      </c>
      <c r="B193" s="59"/>
      <c r="C193" s="61" t="str">
        <f>IF($P$13&gt;=2,A128,"")</f>
        <v>(Type PI name in Year 1 cell A6 and sheet will auto-fill where needed)</v>
      </c>
      <c r="D193" s="61"/>
      <c r="E193" s="61"/>
      <c r="F193" s="61"/>
      <c r="G193" s="62"/>
      <c r="H193" s="63"/>
      <c r="I193" s="63"/>
      <c r="J193" s="63"/>
      <c r="K193" s="183">
        <f t="shared" ref="K193:K198" si="6">IF($P$13&gt;=4,ROUND(K132+(K132*$P$8),0),0)</f>
        <v>0</v>
      </c>
      <c r="L193" s="184"/>
      <c r="M193" s="64"/>
      <c r="N193" s="65"/>
      <c r="P193" s="149"/>
    </row>
    <row r="194" spans="1:18" ht="12.75" customHeight="1">
      <c r="A194" s="58" t="s">
        <v>22</v>
      </c>
      <c r="B194" s="66"/>
      <c r="C194" s="61" t="str">
        <f>IF($P$13&gt;=2,IF(C11="","",C11),"")</f>
        <v/>
      </c>
      <c r="D194" s="61"/>
      <c r="E194" s="61"/>
      <c r="F194" s="61"/>
      <c r="G194" s="67"/>
      <c r="H194" s="63"/>
      <c r="I194" s="63"/>
      <c r="J194" s="63"/>
      <c r="K194" s="183">
        <f t="shared" si="6"/>
        <v>0</v>
      </c>
      <c r="L194" s="184"/>
      <c r="M194" s="54"/>
      <c r="N194" s="65"/>
      <c r="P194" s="159"/>
    </row>
    <row r="195" spans="1:18" ht="12.75" customHeight="1">
      <c r="A195" s="58" t="s">
        <v>23</v>
      </c>
      <c r="B195" s="61"/>
      <c r="C195" s="61" t="str">
        <f>IF($P$13&gt;=2,IF(C12="","",C12),"")</f>
        <v/>
      </c>
      <c r="D195" s="61"/>
      <c r="E195" s="61"/>
      <c r="F195" s="61"/>
      <c r="G195" s="67"/>
      <c r="H195" s="63"/>
      <c r="I195" s="63"/>
      <c r="J195" s="63"/>
      <c r="K195" s="183">
        <f t="shared" si="6"/>
        <v>0</v>
      </c>
      <c r="L195" s="184"/>
      <c r="M195" s="54"/>
      <c r="N195" s="65"/>
      <c r="P195" s="151"/>
    </row>
    <row r="196" spans="1:18" ht="12.75" customHeight="1">
      <c r="A196" s="58" t="s">
        <v>24</v>
      </c>
      <c r="B196" s="61"/>
      <c r="C196" s="61" t="str">
        <f>IF($P$13&gt;=2,IF(C13="","",C13),"")</f>
        <v/>
      </c>
      <c r="D196" s="61"/>
      <c r="E196" s="61"/>
      <c r="F196" s="61"/>
      <c r="G196" s="67"/>
      <c r="H196" s="63"/>
      <c r="I196" s="63"/>
      <c r="J196" s="63"/>
      <c r="K196" s="183">
        <f t="shared" si="6"/>
        <v>0</v>
      </c>
      <c r="L196" s="184"/>
      <c r="M196" s="54"/>
      <c r="N196" s="65"/>
      <c r="P196" s="166"/>
    </row>
    <row r="197" spans="1:18" ht="12.75" customHeight="1" thickBot="1">
      <c r="A197" s="58" t="s">
        <v>25</v>
      </c>
      <c r="B197" s="61"/>
      <c r="C197" s="61" t="str">
        <f>IF($P$13&gt;=2,IF(C14="","",C14),"")</f>
        <v/>
      </c>
      <c r="D197" s="61"/>
      <c r="E197" s="61"/>
      <c r="F197" s="61"/>
      <c r="G197" s="67"/>
      <c r="H197" s="63"/>
      <c r="I197" s="63"/>
      <c r="J197" s="63"/>
      <c r="K197" s="183">
        <f t="shared" si="6"/>
        <v>0</v>
      </c>
      <c r="L197" s="184"/>
      <c r="M197" s="54"/>
      <c r="N197" s="65"/>
      <c r="P197" s="149" t="s">
        <v>107</v>
      </c>
    </row>
    <row r="198" spans="1:18" ht="12.75" customHeight="1" thickBot="1">
      <c r="A198" s="58" t="s">
        <v>26</v>
      </c>
      <c r="B198" s="53"/>
      <c r="C198" s="38" t="s">
        <v>27</v>
      </c>
      <c r="D198" s="38"/>
      <c r="E198" s="38"/>
      <c r="F198" s="38"/>
      <c r="G198" s="55"/>
      <c r="H198" s="63"/>
      <c r="I198" s="63"/>
      <c r="J198" s="63"/>
      <c r="K198" s="183">
        <f t="shared" si="6"/>
        <v>0</v>
      </c>
      <c r="L198" s="184"/>
      <c r="M198" s="54"/>
      <c r="N198" s="65"/>
      <c r="P198" s="165"/>
    </row>
    <row r="199" spans="1:18" ht="12.75" customHeight="1">
      <c r="A199" s="58" t="s">
        <v>28</v>
      </c>
      <c r="B199" s="53"/>
      <c r="C199" s="38" t="s">
        <v>29</v>
      </c>
      <c r="D199" s="38"/>
      <c r="E199" s="38"/>
      <c r="F199" s="38"/>
      <c r="G199" s="55"/>
      <c r="H199" s="63"/>
      <c r="I199" s="63"/>
      <c r="J199" s="63"/>
      <c r="K199" s="183">
        <f>SUM(K$193:K$198)</f>
        <v>0</v>
      </c>
      <c r="L199" s="184"/>
      <c r="M199" s="54"/>
      <c r="N199" s="65"/>
    </row>
    <row r="200" spans="1:18" ht="12.75" customHeight="1">
      <c r="A200" s="69" t="s">
        <v>30</v>
      </c>
      <c r="B200" s="38"/>
      <c r="C200" s="38"/>
      <c r="D200" s="38"/>
      <c r="E200" s="38"/>
      <c r="F200" s="38"/>
      <c r="G200" s="55"/>
      <c r="H200" s="136"/>
      <c r="I200" s="136"/>
      <c r="J200" s="136"/>
      <c r="K200" s="137"/>
      <c r="L200" s="138"/>
      <c r="M200" s="139"/>
      <c r="N200" s="140"/>
      <c r="P200" t="s">
        <v>106</v>
      </c>
    </row>
    <row r="201" spans="1:18" ht="12.75" customHeight="1">
      <c r="A201" s="58" t="s">
        <v>31</v>
      </c>
      <c r="B201" s="53"/>
      <c r="C201" s="38" t="s">
        <v>32</v>
      </c>
      <c r="D201" s="38"/>
      <c r="E201" s="38"/>
      <c r="F201" s="38"/>
      <c r="G201" s="55"/>
      <c r="H201" s="63"/>
      <c r="I201" s="63"/>
      <c r="J201" s="63"/>
      <c r="K201" s="183">
        <f t="shared" ref="K201:K206" si="7">IF($P$13&gt;=4,ROUND(K140+(K140*$P$8),0),0)</f>
        <v>0</v>
      </c>
      <c r="L201" s="184"/>
      <c r="M201" s="54"/>
      <c r="N201" s="65"/>
      <c r="P201" s="160">
        <v>0.41</v>
      </c>
      <c r="Q201" t="s">
        <v>108</v>
      </c>
    </row>
    <row r="202" spans="1:18" ht="12.75" customHeight="1">
      <c r="A202" s="58" t="s">
        <v>33</v>
      </c>
      <c r="B202" s="53"/>
      <c r="C202" s="38" t="s">
        <v>34</v>
      </c>
      <c r="D202" s="38"/>
      <c r="E202" s="38"/>
      <c r="F202" s="38"/>
      <c r="G202" s="38"/>
      <c r="H202" s="70"/>
      <c r="I202" s="70"/>
      <c r="J202" s="71"/>
      <c r="K202" s="183">
        <f t="shared" si="7"/>
        <v>0</v>
      </c>
      <c r="L202" s="184"/>
      <c r="M202" s="54"/>
      <c r="N202" s="65"/>
      <c r="P202" s="161">
        <v>7.6499999999999999E-2</v>
      </c>
      <c r="Q202" t="s">
        <v>109</v>
      </c>
    </row>
    <row r="203" spans="1:18" ht="12.75" customHeight="1">
      <c r="A203" s="58" t="s">
        <v>35</v>
      </c>
      <c r="B203" s="53"/>
      <c r="C203" s="61" t="s">
        <v>36</v>
      </c>
      <c r="D203" s="38"/>
      <c r="E203" s="38"/>
      <c r="F203" s="72"/>
      <c r="G203" s="38"/>
      <c r="H203" s="73"/>
      <c r="I203" s="73"/>
      <c r="J203" s="74"/>
      <c r="K203" s="183">
        <f t="shared" si="7"/>
        <v>0</v>
      </c>
      <c r="L203" s="184"/>
      <c r="M203" s="54"/>
      <c r="N203" s="65"/>
    </row>
    <row r="204" spans="1:18" ht="24" customHeight="1">
      <c r="A204" s="58" t="s">
        <v>37</v>
      </c>
      <c r="B204" s="53"/>
      <c r="C204" s="61" t="s">
        <v>38</v>
      </c>
      <c r="D204" s="38"/>
      <c r="E204" s="38"/>
      <c r="F204" s="72"/>
      <c r="G204" s="38"/>
      <c r="H204" s="73"/>
      <c r="I204" s="73"/>
      <c r="J204" s="74"/>
      <c r="K204" s="183">
        <f t="shared" si="7"/>
        <v>0</v>
      </c>
      <c r="L204" s="184"/>
      <c r="M204" s="54"/>
      <c r="N204" s="65"/>
      <c r="P204" s="170" t="s">
        <v>126</v>
      </c>
      <c r="Q204" s="173" t="s">
        <v>135</v>
      </c>
      <c r="R204" s="169"/>
    </row>
    <row r="205" spans="1:18" ht="12.75" customHeight="1">
      <c r="A205" s="58" t="s">
        <v>39</v>
      </c>
      <c r="B205" s="53"/>
      <c r="C205" s="61" t="s">
        <v>40</v>
      </c>
      <c r="D205" s="38"/>
      <c r="E205" s="38"/>
      <c r="F205" s="38"/>
      <c r="G205" s="38"/>
      <c r="H205" s="38"/>
      <c r="I205" s="38"/>
      <c r="J205" s="55"/>
      <c r="K205" s="183">
        <f t="shared" si="7"/>
        <v>0</v>
      </c>
      <c r="L205" s="184"/>
      <c r="M205" s="54"/>
      <c r="N205" s="65"/>
      <c r="P205" s="168" t="s">
        <v>127</v>
      </c>
      <c r="Q205" s="171">
        <f>IF($P$13&gt;3,Q144,"")</f>
        <v>0</v>
      </c>
      <c r="R205" s="172">
        <f>IF($P$13&gt;3,(Q205/12)*2162,"")</f>
        <v>0</v>
      </c>
    </row>
    <row r="206" spans="1:18" ht="12.75" customHeight="1">
      <c r="A206" s="58" t="s">
        <v>26</v>
      </c>
      <c r="B206" s="53"/>
      <c r="C206" s="61" t="s">
        <v>41</v>
      </c>
      <c r="D206" s="38"/>
      <c r="E206" s="38"/>
      <c r="F206" s="38"/>
      <c r="G206" s="38"/>
      <c r="H206" s="38"/>
      <c r="I206" s="38"/>
      <c r="J206" s="55"/>
      <c r="K206" s="183">
        <f t="shared" si="7"/>
        <v>0</v>
      </c>
      <c r="L206" s="184"/>
      <c r="M206" s="54"/>
      <c r="N206" s="65"/>
      <c r="P206" s="168" t="s">
        <v>128</v>
      </c>
      <c r="Q206" s="171">
        <f>IF($P$13&gt;3,Q145,"")</f>
        <v>0</v>
      </c>
      <c r="R206" s="172">
        <f>IF($P$13&gt;3,(Q206/9)*1730,"")</f>
        <v>0</v>
      </c>
    </row>
    <row r="207" spans="1:18" ht="12.75" customHeight="1">
      <c r="A207" s="58"/>
      <c r="B207" s="61" t="s">
        <v>42</v>
      </c>
      <c r="C207" s="61"/>
      <c r="D207" s="38"/>
      <c r="E207" s="38"/>
      <c r="F207" s="38"/>
      <c r="G207" s="38"/>
      <c r="H207" s="38"/>
      <c r="I207" s="38"/>
      <c r="J207" s="55"/>
      <c r="K207" s="183">
        <f>K$199+SUM(K$201:K$206)</f>
        <v>0</v>
      </c>
      <c r="L207" s="184"/>
      <c r="M207" s="54"/>
      <c r="N207" s="65"/>
      <c r="P207" s="168" t="s">
        <v>129</v>
      </c>
      <c r="Q207" s="171">
        <f>IF($P$13&gt;3,Q146,"")</f>
        <v>0</v>
      </c>
      <c r="R207" s="172">
        <f>IF($P$13&gt;3,(Q207/3)*432,"")</f>
        <v>0</v>
      </c>
    </row>
    <row r="208" spans="1:18" ht="12.75" customHeight="1">
      <c r="A208" s="69" t="s">
        <v>43</v>
      </c>
      <c r="B208" s="38"/>
      <c r="C208" s="38"/>
      <c r="D208" s="38"/>
      <c r="E208" s="38"/>
      <c r="F208" s="38"/>
      <c r="G208" s="75" t="s">
        <v>44</v>
      </c>
      <c r="H208" s="76"/>
      <c r="I208" s="38"/>
      <c r="J208" s="55"/>
      <c r="K208" s="185">
        <f>IF(P13&gt;3,ROUND(((K207-K204-K203-P198)*P201)+(P198*P202)+R208,0),0)</f>
        <v>0</v>
      </c>
      <c r="L208" s="186"/>
      <c r="M208" s="54"/>
      <c r="N208" s="65"/>
      <c r="P208" s="169"/>
      <c r="Q208" s="169"/>
      <c r="R208" s="172">
        <f>IF($P$13&gt;3,SUM(R205:R207),"")</f>
        <v>0</v>
      </c>
    </row>
    <row r="209" spans="1:14" ht="12.75" customHeight="1">
      <c r="A209" s="69"/>
      <c r="B209" s="61" t="s">
        <v>45</v>
      </c>
      <c r="C209" s="38"/>
      <c r="D209" s="38"/>
      <c r="E209" s="38"/>
      <c r="F209" s="38"/>
      <c r="G209" s="38"/>
      <c r="H209" s="38"/>
      <c r="I209" s="38"/>
      <c r="J209" s="55"/>
      <c r="K209" s="183">
        <f>K$207+K$208</f>
        <v>0</v>
      </c>
      <c r="L209" s="184"/>
      <c r="M209" s="54"/>
      <c r="N209" s="65"/>
    </row>
    <row r="210" spans="1:14" ht="12.75" customHeight="1">
      <c r="A210" s="32" t="s">
        <v>46</v>
      </c>
      <c r="J210" s="46"/>
      <c r="K210" s="134"/>
      <c r="L210" s="141"/>
      <c r="M210" s="134"/>
      <c r="N210" s="135"/>
    </row>
    <row r="211" spans="1:14" ht="12.75" customHeight="1">
      <c r="A211" s="32"/>
      <c r="B211" s="77"/>
      <c r="C211" s="143"/>
      <c r="H211" s="78"/>
      <c r="I211" s="2"/>
      <c r="J211" s="46"/>
      <c r="K211" s="134"/>
      <c r="L211" s="141"/>
      <c r="M211" s="134"/>
      <c r="N211" s="135"/>
    </row>
    <row r="212" spans="1:14" ht="12.75" customHeight="1">
      <c r="A212" s="32"/>
      <c r="B212" s="79"/>
      <c r="J212" s="46"/>
      <c r="K212" s="134"/>
      <c r="L212" s="141"/>
      <c r="M212" s="134"/>
      <c r="N212" s="135"/>
    </row>
    <row r="213" spans="1:14" ht="12.75" customHeight="1">
      <c r="A213" s="32"/>
      <c r="J213" s="46"/>
      <c r="K213" s="134"/>
      <c r="L213" s="141"/>
      <c r="M213" s="134"/>
      <c r="N213" s="135"/>
    </row>
    <row r="214" spans="1:14" ht="12.75" customHeight="1">
      <c r="A214" s="69"/>
      <c r="B214" s="61" t="s">
        <v>47</v>
      </c>
      <c r="C214" s="38"/>
      <c r="D214" s="38"/>
      <c r="E214" s="38"/>
      <c r="F214" s="38"/>
      <c r="G214" s="38"/>
      <c r="H214" s="38"/>
      <c r="I214" s="38"/>
      <c r="J214" s="55"/>
      <c r="K214" s="183"/>
      <c r="L214" s="184"/>
      <c r="M214" s="80"/>
      <c r="N214" s="81"/>
    </row>
    <row r="215" spans="1:14" ht="12.75" customHeight="1">
      <c r="A215" s="69" t="s">
        <v>48</v>
      </c>
      <c r="B215" s="38"/>
      <c r="C215" s="38"/>
      <c r="D215" s="38" t="s">
        <v>124</v>
      </c>
      <c r="E215" s="38"/>
      <c r="F215" s="38"/>
      <c r="G215" s="38"/>
      <c r="H215" s="38"/>
      <c r="I215" s="38"/>
      <c r="J215" s="55"/>
      <c r="K215" s="183">
        <f>IF($P$13&gt;=4,ROUND(K154+(K154*$P$11),0),0)</f>
        <v>0</v>
      </c>
      <c r="L215" s="184"/>
      <c r="M215" s="54"/>
      <c r="N215" s="65"/>
    </row>
    <row r="216" spans="1:14" ht="12.75" customHeight="1">
      <c r="A216" s="69"/>
      <c r="B216" s="38"/>
      <c r="C216" s="38"/>
      <c r="D216" s="38" t="s">
        <v>49</v>
      </c>
      <c r="E216" s="38"/>
      <c r="F216" s="38"/>
      <c r="G216" s="38"/>
      <c r="H216" s="38"/>
      <c r="I216" s="38"/>
      <c r="J216" s="55"/>
      <c r="K216" s="183">
        <f>IF($P$13&gt;=4,ROUND(K155+(K155*$P$11),0),0)</f>
        <v>0</v>
      </c>
      <c r="L216" s="184"/>
      <c r="M216" s="54"/>
      <c r="N216" s="65"/>
    </row>
    <row r="217" spans="1:14" ht="12.75" customHeight="1">
      <c r="A217" s="32" t="s">
        <v>50</v>
      </c>
      <c r="J217" s="46"/>
      <c r="K217" s="134"/>
      <c r="L217" s="141"/>
      <c r="M217" s="134"/>
      <c r="N217" s="135"/>
    </row>
    <row r="218" spans="1:14" ht="12.75" customHeight="1">
      <c r="A218" s="32"/>
      <c r="B218" s="8" t="s">
        <v>51</v>
      </c>
      <c r="D218" s="82"/>
      <c r="E218" s="83"/>
      <c r="J218" s="46"/>
      <c r="K218" s="134"/>
      <c r="L218" s="141"/>
      <c r="M218" s="134"/>
      <c r="N218" s="135"/>
    </row>
    <row r="219" spans="1:14" ht="12.75" customHeight="1">
      <c r="A219" s="32"/>
      <c r="B219" s="8" t="s">
        <v>52</v>
      </c>
      <c r="E219" s="83"/>
      <c r="J219" s="46"/>
      <c r="K219" s="134"/>
      <c r="L219" s="141"/>
      <c r="M219" s="134"/>
      <c r="N219" s="135"/>
    </row>
    <row r="220" spans="1:14" ht="12.75" customHeight="1">
      <c r="A220" s="32"/>
      <c r="B220" s="8" t="s">
        <v>53</v>
      </c>
      <c r="E220" s="83"/>
      <c r="J220" s="46"/>
      <c r="K220" s="134"/>
      <c r="L220" s="141"/>
      <c r="M220" s="134"/>
      <c r="N220" s="135"/>
    </row>
    <row r="221" spans="1:14" ht="12.75" customHeight="1">
      <c r="A221" s="32"/>
      <c r="B221" s="8" t="s">
        <v>54</v>
      </c>
      <c r="E221" s="83"/>
      <c r="J221" s="46"/>
      <c r="K221" s="134"/>
      <c r="L221" s="141"/>
      <c r="M221" s="134"/>
      <c r="N221" s="135"/>
    </row>
    <row r="222" spans="1:14" ht="12.75" customHeight="1">
      <c r="A222" s="69"/>
      <c r="B222" s="38"/>
      <c r="C222" s="38"/>
      <c r="D222" s="38"/>
      <c r="E222" s="38"/>
      <c r="F222" s="38"/>
      <c r="G222" s="38"/>
      <c r="H222" s="38"/>
      <c r="I222" s="38"/>
      <c r="J222" s="55"/>
      <c r="K222" s="139"/>
      <c r="L222" s="142"/>
      <c r="M222" s="139"/>
      <c r="N222" s="140"/>
    </row>
    <row r="223" spans="1:14" ht="12.75" customHeight="1">
      <c r="A223" s="58" t="s">
        <v>100</v>
      </c>
      <c r="B223" s="61"/>
      <c r="C223" s="61"/>
      <c r="D223" s="38"/>
      <c r="E223" s="38"/>
      <c r="F223" s="144"/>
      <c r="G223" s="38"/>
      <c r="H223" s="38"/>
      <c r="I223" s="38"/>
      <c r="J223" s="145" t="s">
        <v>99</v>
      </c>
      <c r="K223" s="183">
        <f>SUM($E$218:$E$221)</f>
        <v>0</v>
      </c>
      <c r="L223" s="184"/>
      <c r="M223" s="54"/>
      <c r="N223" s="65"/>
    </row>
    <row r="224" spans="1:14" ht="12.75" customHeight="1">
      <c r="A224" s="69" t="s">
        <v>55</v>
      </c>
      <c r="B224" s="38"/>
      <c r="C224" s="38"/>
      <c r="D224" s="38"/>
      <c r="E224" s="38"/>
      <c r="F224" s="38"/>
      <c r="G224" s="38"/>
      <c r="H224" s="38"/>
      <c r="I224" s="38"/>
      <c r="J224" s="55"/>
      <c r="K224" s="139"/>
      <c r="L224" s="142"/>
      <c r="M224" s="139"/>
      <c r="N224" s="140"/>
    </row>
    <row r="225" spans="1:18" ht="12.75" customHeight="1">
      <c r="A225" s="69"/>
      <c r="B225" s="38" t="s">
        <v>56</v>
      </c>
      <c r="C225" s="38"/>
      <c r="D225" s="38"/>
      <c r="E225" s="38"/>
      <c r="F225" s="38"/>
      <c r="G225" s="38"/>
      <c r="H225" s="38"/>
      <c r="I225" s="38"/>
      <c r="J225" s="55"/>
      <c r="K225" s="183">
        <f>IF($P$13&gt;=4,ROUND(K164+(K164*$P$11),0),0)</f>
        <v>0</v>
      </c>
      <c r="L225" s="184"/>
      <c r="M225" s="54"/>
      <c r="N225" s="65"/>
    </row>
    <row r="226" spans="1:18" ht="12.75" customHeight="1">
      <c r="A226" s="69"/>
      <c r="B226" s="38" t="s">
        <v>57</v>
      </c>
      <c r="C226" s="38"/>
      <c r="D226" s="38"/>
      <c r="E226" s="38"/>
      <c r="F226" s="38"/>
      <c r="G226" s="38"/>
      <c r="H226" s="38"/>
      <c r="I226" s="38"/>
      <c r="J226" s="55"/>
      <c r="K226" s="183">
        <f>IF($P$13&gt;=4,ROUND(K165+(K165*$P$11),0),0)</f>
        <v>0</v>
      </c>
      <c r="L226" s="184"/>
      <c r="M226" s="54"/>
      <c r="N226" s="65"/>
    </row>
    <row r="227" spans="1:18" ht="12.75" customHeight="1">
      <c r="A227" s="69"/>
      <c r="B227" s="38" t="s">
        <v>58</v>
      </c>
      <c r="C227" s="38"/>
      <c r="D227" s="38"/>
      <c r="E227" s="38"/>
      <c r="F227" s="38"/>
      <c r="G227" s="38"/>
      <c r="H227" s="38"/>
      <c r="I227" s="38"/>
      <c r="J227" s="55"/>
      <c r="K227" s="183">
        <f>IF($P$13&gt;=4,ROUND(K166+(K166*$P$11),0),0)</f>
        <v>0</v>
      </c>
      <c r="L227" s="184"/>
      <c r="M227" s="54"/>
      <c r="N227" s="65"/>
      <c r="P227" s="86" t="s">
        <v>63</v>
      </c>
      <c r="R227" s="85" t="s">
        <v>61</v>
      </c>
    </row>
    <row r="228" spans="1:18" ht="12.75" customHeight="1">
      <c r="A228" s="69"/>
      <c r="B228" s="38" t="s">
        <v>59</v>
      </c>
      <c r="C228" s="38"/>
      <c r="D228" s="38"/>
      <c r="E228" s="38"/>
      <c r="F228" s="38"/>
      <c r="G228" s="38"/>
      <c r="H228" s="38"/>
      <c r="I228" s="38"/>
      <c r="J228" s="55"/>
      <c r="K228" s="183">
        <f>IF($P$13&gt;=4,ROUND(K167+(K167*$P$11),0),0)</f>
        <v>0</v>
      </c>
      <c r="L228" s="184"/>
      <c r="M228" s="54"/>
      <c r="N228" s="65"/>
      <c r="P228" s="86" t="s">
        <v>66</v>
      </c>
      <c r="Q228" s="87" t="s">
        <v>93</v>
      </c>
      <c r="R228" s="85" t="s">
        <v>64</v>
      </c>
    </row>
    <row r="229" spans="1:18" ht="12.75" customHeight="1">
      <c r="A229" s="69"/>
      <c r="B229" s="38" t="s">
        <v>60</v>
      </c>
      <c r="C229" s="38"/>
      <c r="D229" s="38"/>
      <c r="E229" s="38"/>
      <c r="F229" s="38"/>
      <c r="G229" s="38"/>
      <c r="H229" s="38"/>
      <c r="I229" s="38"/>
      <c r="J229" s="55"/>
      <c r="K229" s="183">
        <f>SUM(Q229:Q232)</f>
        <v>0</v>
      </c>
      <c r="L229" s="184"/>
      <c r="M229" s="54"/>
      <c r="N229" s="65"/>
      <c r="P229" s="88" t="s">
        <v>70</v>
      </c>
      <c r="Q229" s="89"/>
      <c r="R229" s="85" t="s">
        <v>68</v>
      </c>
    </row>
    <row r="230" spans="1:18" ht="12.75" customHeight="1">
      <c r="A230" s="69"/>
      <c r="B230" s="38" t="s">
        <v>62</v>
      </c>
      <c r="C230" s="38"/>
      <c r="D230" s="38"/>
      <c r="E230" s="38"/>
      <c r="F230" s="72"/>
      <c r="G230" s="38"/>
      <c r="H230" s="38"/>
      <c r="I230" s="38"/>
      <c r="J230" s="55"/>
      <c r="K230" s="183">
        <f>Q236+Q237</f>
        <v>0</v>
      </c>
      <c r="L230" s="184"/>
      <c r="M230" s="54"/>
      <c r="N230" s="65"/>
      <c r="P230" s="92" t="s">
        <v>72</v>
      </c>
      <c r="Q230" s="93"/>
      <c r="R230" s="90">
        <f>IF(Q229+R47+R108+R169&gt;=25000,25000-(R47+R108+R169),Q229)</f>
        <v>0</v>
      </c>
    </row>
    <row r="231" spans="1:18" ht="12.75" customHeight="1">
      <c r="A231" s="69"/>
      <c r="B231" s="38"/>
      <c r="C231" s="38" t="s">
        <v>65</v>
      </c>
      <c r="D231" s="38"/>
      <c r="E231" s="38"/>
      <c r="F231" s="38"/>
      <c r="G231" s="38"/>
      <c r="H231" s="38"/>
      <c r="I231" s="38"/>
      <c r="J231" s="55"/>
      <c r="K231" s="183">
        <f>SUM(K$225:K$230)</f>
        <v>0</v>
      </c>
      <c r="L231" s="184"/>
      <c r="M231" s="54"/>
      <c r="N231" s="65"/>
      <c r="P231" s="92" t="s">
        <v>74</v>
      </c>
      <c r="Q231" s="93"/>
      <c r="R231" s="90">
        <f>IF(Q230+R48+R109+R170&gt;=25000,25000-(R48+R109+R170),Q230)</f>
        <v>0</v>
      </c>
    </row>
    <row r="232" spans="1:18" ht="12.75" customHeight="1">
      <c r="A232" s="69" t="s">
        <v>69</v>
      </c>
      <c r="B232" s="38"/>
      <c r="C232" s="38"/>
      <c r="D232" s="38"/>
      <c r="E232" s="38"/>
      <c r="F232" s="38"/>
      <c r="G232" s="38"/>
      <c r="H232" s="38"/>
      <c r="I232" s="38"/>
      <c r="J232" s="55"/>
      <c r="K232" s="84">
        <f>K$209+SUM(K$214:K$216)+K$223+K$231</f>
        <v>0</v>
      </c>
      <c r="L232" s="68"/>
      <c r="M232" s="54"/>
      <c r="N232" s="65"/>
      <c r="P232" s="98" t="s">
        <v>77</v>
      </c>
      <c r="Q232" s="99"/>
      <c r="R232" s="90">
        <f>IF(Q231+R49+R110+R171&gt;=25000,25000-(R49+R110+R171),Q231)</f>
        <v>0</v>
      </c>
    </row>
    <row r="233" spans="1:18" ht="12.75" customHeight="1">
      <c r="A233" s="32" t="s">
        <v>71</v>
      </c>
      <c r="J233" s="46"/>
      <c r="K233" s="132"/>
      <c r="L233" s="133"/>
      <c r="M233" s="134"/>
      <c r="N233" s="135"/>
      <c r="R233" s="90">
        <f>IF(Q232+R50+R111+R172&gt;=25000,25000-(R50+R111+R172),Q232)</f>
        <v>0</v>
      </c>
    </row>
    <row r="234" spans="1:18" ht="12.75" customHeight="1">
      <c r="A234" s="94" t="s">
        <v>73</v>
      </c>
      <c r="B234" s="2"/>
      <c r="C234" s="2"/>
      <c r="D234" s="2"/>
      <c r="E234" s="5"/>
      <c r="F234" s="5"/>
      <c r="G234" s="187">
        <f>IF(R230&gt;25000,"25000",R230)+IF(R231&gt;25000,"25000",R231)+IF(R232&gt;25000,"25000",R232)+IF(R233&gt;25000,"25000",R233)+K232-K214-K223-K229-Q236</f>
        <v>0</v>
      </c>
      <c r="H234" s="187"/>
      <c r="J234" s="46"/>
      <c r="K234" s="132"/>
      <c r="L234" s="133"/>
      <c r="M234" s="134"/>
      <c r="N234" s="135"/>
      <c r="P234" s="149" t="s">
        <v>114</v>
      </c>
    </row>
    <row r="235" spans="1:18" ht="12.75" customHeight="1">
      <c r="A235" s="69" t="s">
        <v>75</v>
      </c>
      <c r="B235" s="38"/>
      <c r="C235" s="38"/>
      <c r="D235" s="38"/>
      <c r="E235" s="38"/>
      <c r="F235" s="38"/>
      <c r="G235" s="75" t="s">
        <v>76</v>
      </c>
      <c r="H235" s="95">
        <f>IF(P13&gt;3,H52,0)</f>
        <v>0.5</v>
      </c>
      <c r="I235" s="38"/>
      <c r="J235" s="55"/>
      <c r="K235" s="183">
        <f>ROUND($G$234 * $H$235,0)</f>
        <v>0</v>
      </c>
      <c r="L235" s="184"/>
      <c r="M235" s="96"/>
      <c r="N235" s="97"/>
      <c r="P235" s="149" t="s">
        <v>113</v>
      </c>
      <c r="Q235" s="162" t="s">
        <v>93</v>
      </c>
    </row>
    <row r="236" spans="1:18" ht="12.75" customHeight="1">
      <c r="A236" s="69" t="s">
        <v>78</v>
      </c>
      <c r="B236" s="38"/>
      <c r="C236" s="38"/>
      <c r="D236" s="38"/>
      <c r="E236" s="38"/>
      <c r="F236" s="38"/>
      <c r="G236" s="38"/>
      <c r="H236" s="38"/>
      <c r="I236" s="38"/>
      <c r="J236" s="55"/>
      <c r="K236" s="84">
        <f>K$232+K$235</f>
        <v>0</v>
      </c>
      <c r="L236" s="68"/>
      <c r="M236" s="54"/>
      <c r="N236" s="65"/>
      <c r="P236" s="162" t="s">
        <v>111</v>
      </c>
      <c r="Q236" s="164">
        <f>IF(P13&gt;3,ROUND(K203*R237,0),0)</f>
        <v>0</v>
      </c>
    </row>
    <row r="237" spans="1:18" ht="12.75" customHeight="1">
      <c r="A237" s="69" t="s">
        <v>79</v>
      </c>
      <c r="B237" s="38"/>
      <c r="C237" s="38"/>
      <c r="D237" s="38"/>
      <c r="E237" s="38"/>
      <c r="F237" s="38"/>
      <c r="G237" s="38"/>
      <c r="H237" s="38"/>
      <c r="I237" s="38"/>
      <c r="J237" s="55"/>
      <c r="K237" s="175"/>
      <c r="L237" s="176"/>
      <c r="M237" s="54"/>
      <c r="N237" s="65"/>
      <c r="P237" s="162" t="s">
        <v>112</v>
      </c>
      <c r="Q237" s="164">
        <f>IF($P$13&gt;=4,ROUND(Q176+(Q176*$P$11),0),0)</f>
        <v>0</v>
      </c>
      <c r="R237" s="160">
        <v>0.38</v>
      </c>
    </row>
    <row r="238" spans="1:18" ht="12.75" customHeight="1" thickBot="1">
      <c r="A238" s="101" t="s">
        <v>80</v>
      </c>
      <c r="B238" s="40"/>
      <c r="C238" s="40"/>
      <c r="D238" s="40"/>
      <c r="E238" s="40"/>
      <c r="F238" s="40"/>
      <c r="G238" s="40"/>
      <c r="H238" s="40"/>
      <c r="I238" s="40"/>
      <c r="J238" s="41"/>
      <c r="K238" s="102">
        <f>K$236-K$237</f>
        <v>0</v>
      </c>
      <c r="L238" s="103"/>
      <c r="M238" s="104"/>
      <c r="N238" s="105"/>
    </row>
    <row r="239" spans="1:18" ht="12.75" customHeight="1" thickBot="1">
      <c r="A239" s="101" t="s">
        <v>81</v>
      </c>
      <c r="B239" s="40"/>
      <c r="C239" s="40"/>
      <c r="D239" s="40"/>
      <c r="E239" s="40"/>
      <c r="F239" s="102"/>
      <c r="G239" s="106" t="s">
        <v>82</v>
      </c>
      <c r="H239" s="40"/>
      <c r="I239" s="40"/>
      <c r="J239" s="42"/>
      <c r="K239" s="102"/>
      <c r="L239" s="102"/>
      <c r="M239" s="42"/>
      <c r="N239" s="107"/>
    </row>
    <row r="240" spans="1:18" ht="12.75" customHeight="1">
      <c r="A240" s="32" t="s">
        <v>121</v>
      </c>
      <c r="F240" s="46"/>
      <c r="G240" s="36" t="s">
        <v>83</v>
      </c>
      <c r="H240" s="108" t="s">
        <v>1</v>
      </c>
      <c r="I240" s="26"/>
      <c r="J240" s="26"/>
      <c r="K240" s="26"/>
      <c r="L240" s="26"/>
      <c r="M240" s="26"/>
      <c r="N240" s="57"/>
    </row>
    <row r="241" spans="1:16" ht="12.75" customHeight="1">
      <c r="A241" s="69" t="str">
        <f>A6</f>
        <v>(Type PI name in Year 1 cell A6 and sheet will auto-fill where needed)</v>
      </c>
      <c r="B241" s="38"/>
      <c r="C241" s="38"/>
      <c r="D241" s="38"/>
      <c r="E241" s="38"/>
      <c r="F241" s="61"/>
      <c r="G241" s="109"/>
      <c r="H241" s="26" t="s">
        <v>84</v>
      </c>
      <c r="I241" s="26"/>
      <c r="J241" s="26"/>
      <c r="K241" s="26"/>
      <c r="L241" s="26"/>
      <c r="M241" s="26"/>
      <c r="N241" s="57"/>
    </row>
    <row r="242" spans="1:16" ht="12.75" customHeight="1">
      <c r="A242" s="32" t="s">
        <v>120</v>
      </c>
      <c r="F242" s="46"/>
      <c r="G242" s="36" t="s">
        <v>83</v>
      </c>
      <c r="H242" s="2" t="s">
        <v>85</v>
      </c>
      <c r="I242" s="35"/>
      <c r="J242" s="2" t="s">
        <v>86</v>
      </c>
      <c r="K242" s="2"/>
      <c r="L242" s="35"/>
      <c r="M242" s="2" t="s">
        <v>87</v>
      </c>
      <c r="N242" s="50"/>
    </row>
    <row r="243" spans="1:16" ht="12.75" customHeight="1" thickBot="1">
      <c r="A243" s="101" t="str">
        <f>A60</f>
        <v>Darya Courville, Executive Director, Sponsored Programs</v>
      </c>
      <c r="B243" s="40"/>
      <c r="C243" s="40"/>
      <c r="D243" s="40"/>
      <c r="E243" s="40"/>
      <c r="F243" s="41"/>
      <c r="G243" s="44"/>
      <c r="H243" s="40"/>
      <c r="I243" s="41"/>
      <c r="J243" s="40"/>
      <c r="K243" s="40"/>
      <c r="L243" s="41"/>
      <c r="M243" s="40"/>
      <c r="N243" s="44"/>
    </row>
    <row r="244" spans="1:16" ht="12.75" customHeight="1">
      <c r="A244" s="110" t="s">
        <v>115</v>
      </c>
      <c r="B244" s="110"/>
      <c r="C244" s="110"/>
      <c r="D244" s="110"/>
      <c r="E244" s="111"/>
      <c r="F244" s="110"/>
      <c r="G244"/>
      <c r="N244" s="112"/>
    </row>
    <row r="245" spans="1:16" ht="16.2" thickBot="1">
      <c r="A245" s="1"/>
      <c r="B245" s="2"/>
      <c r="C245" s="2"/>
      <c r="D245" s="3"/>
      <c r="E245" s="4"/>
      <c r="F245" s="5"/>
      <c r="G245" s="6"/>
      <c r="H245" s="7"/>
      <c r="L245" s="9" t="s">
        <v>94</v>
      </c>
    </row>
    <row r="246" spans="1:16" ht="16.2" thickBot="1">
      <c r="A246" s="1" t="s">
        <v>97</v>
      </c>
      <c r="B246" s="2"/>
      <c r="C246" s="2"/>
      <c r="D246" s="2"/>
      <c r="E246" s="1"/>
      <c r="F246" s="5"/>
      <c r="G246" s="6"/>
      <c r="H246" s="7"/>
      <c r="I246" s="12" t="s">
        <v>1</v>
      </c>
      <c r="J246" s="13"/>
      <c r="K246" s="13"/>
      <c r="L246" s="13"/>
      <c r="M246" s="13"/>
      <c r="N246" s="14"/>
    </row>
    <row r="247" spans="1:16">
      <c r="A247" s="15" t="s">
        <v>2</v>
      </c>
      <c r="B247" s="16"/>
      <c r="C247" s="16"/>
      <c r="D247" s="16"/>
      <c r="E247" s="16"/>
      <c r="F247" s="16"/>
      <c r="G247" s="16"/>
      <c r="H247" s="16"/>
      <c r="I247" s="17" t="s">
        <v>3</v>
      </c>
      <c r="J247" s="18"/>
      <c r="K247" s="19"/>
      <c r="L247" s="20" t="s">
        <v>4</v>
      </c>
      <c r="M247" s="20"/>
      <c r="N247" s="21"/>
    </row>
    <row r="248" spans="1:16">
      <c r="A248" s="22" t="s">
        <v>5</v>
      </c>
      <c r="B248" s="23"/>
      <c r="C248" s="24"/>
      <c r="D248" s="24"/>
      <c r="E248" s="24"/>
      <c r="F248" s="24"/>
      <c r="G248" s="24"/>
      <c r="H248" s="25"/>
      <c r="I248" s="26"/>
      <c r="J248" s="26"/>
      <c r="K248" s="27"/>
      <c r="L248" s="26" t="s">
        <v>6</v>
      </c>
      <c r="M248" s="28"/>
      <c r="N248" s="29" t="s">
        <v>7</v>
      </c>
    </row>
    <row r="249" spans="1:16">
      <c r="A249" s="32" t="s">
        <v>8</v>
      </c>
      <c r="I249" s="33" t="s">
        <v>9</v>
      </c>
      <c r="J249" s="2"/>
      <c r="K249" s="34"/>
      <c r="L249" s="2"/>
      <c r="M249" s="35"/>
      <c r="N249" s="36"/>
    </row>
    <row r="250" spans="1:16" ht="13.8" thickBot="1">
      <c r="A250" s="37" t="str">
        <f>A6</f>
        <v>(Type PI name in Year 1 cell A6 and sheet will auto-fill where needed)</v>
      </c>
      <c r="B250" s="23"/>
      <c r="C250" s="38"/>
      <c r="D250" s="38"/>
      <c r="E250" s="38"/>
      <c r="F250" s="38"/>
      <c r="G250" s="38"/>
      <c r="H250" s="38"/>
      <c r="I250" s="39"/>
      <c r="J250" s="40"/>
      <c r="K250" s="41"/>
      <c r="L250" s="42"/>
      <c r="M250" s="43"/>
      <c r="N250" s="44"/>
    </row>
    <row r="251" spans="1:16">
      <c r="A251" s="32" t="s">
        <v>10</v>
      </c>
      <c r="E251" s="45"/>
      <c r="G251" s="46"/>
      <c r="H251" s="47" t="s">
        <v>11</v>
      </c>
      <c r="I251" s="2"/>
      <c r="J251" s="48"/>
      <c r="K251" s="177" t="s">
        <v>12</v>
      </c>
      <c r="L251" s="178"/>
      <c r="M251" s="47" t="s">
        <v>12</v>
      </c>
      <c r="N251" s="50"/>
    </row>
    <row r="252" spans="1:16">
      <c r="A252" s="32"/>
      <c r="B252" s="45" t="s">
        <v>98</v>
      </c>
      <c r="G252" s="46"/>
      <c r="H252" s="51" t="s">
        <v>13</v>
      </c>
      <c r="I252" s="26"/>
      <c r="J252" s="27"/>
      <c r="K252" s="179" t="s">
        <v>14</v>
      </c>
      <c r="L252" s="180"/>
      <c r="M252" s="47" t="s">
        <v>15</v>
      </c>
      <c r="N252" s="50"/>
    </row>
    <row r="253" spans="1:16">
      <c r="A253" s="52"/>
      <c r="B253" s="53"/>
      <c r="C253" s="54"/>
      <c r="D253" s="38"/>
      <c r="E253" s="38"/>
      <c r="F253" s="38"/>
      <c r="G253" s="55"/>
      <c r="H253" s="56" t="s">
        <v>16</v>
      </c>
      <c r="I253" s="56" t="s">
        <v>17</v>
      </c>
      <c r="J253" s="27" t="s">
        <v>18</v>
      </c>
      <c r="K253" s="181" t="s">
        <v>19</v>
      </c>
      <c r="L253" s="182"/>
      <c r="M253" s="51" t="s">
        <v>20</v>
      </c>
      <c r="N253" s="57"/>
    </row>
    <row r="254" spans="1:16" ht="12.75" customHeight="1">
      <c r="A254" s="58" t="s">
        <v>21</v>
      </c>
      <c r="B254" s="59"/>
      <c r="C254" s="61" t="str">
        <f>IF($P$13&gt;=2,A189,"")</f>
        <v>(Type PI name in Year 1 cell A6 and sheet will auto-fill where needed)</v>
      </c>
      <c r="D254" s="61"/>
      <c r="E254" s="61"/>
      <c r="F254" s="61"/>
      <c r="G254" s="62"/>
      <c r="H254" s="63"/>
      <c r="I254" s="63"/>
      <c r="J254" s="63"/>
      <c r="K254" s="183">
        <f t="shared" ref="K254:K259" si="8">IF($P$13&gt;=5,ROUND(K193+(K193*$P$8),0),0)</f>
        <v>0</v>
      </c>
      <c r="L254" s="184"/>
      <c r="M254" s="64"/>
      <c r="N254" s="65"/>
      <c r="P254" s="149"/>
    </row>
    <row r="255" spans="1:16" ht="12.75" customHeight="1">
      <c r="A255" s="58" t="s">
        <v>22</v>
      </c>
      <c r="B255" s="66"/>
      <c r="C255" s="61" t="str">
        <f>IF($P$13&gt;=2,IF(C11="","",C11),"")</f>
        <v/>
      </c>
      <c r="D255" s="61"/>
      <c r="E255" s="61"/>
      <c r="F255" s="61"/>
      <c r="G255" s="67"/>
      <c r="H255" s="63"/>
      <c r="I255" s="63"/>
      <c r="J255" s="63"/>
      <c r="K255" s="183">
        <f t="shared" si="8"/>
        <v>0</v>
      </c>
      <c r="L255" s="184"/>
      <c r="M255" s="54"/>
      <c r="N255" s="65"/>
      <c r="P255" s="159"/>
    </row>
    <row r="256" spans="1:16" ht="12.75" customHeight="1">
      <c r="A256" s="58" t="s">
        <v>23</v>
      </c>
      <c r="B256" s="61"/>
      <c r="C256" s="61" t="str">
        <f>IF($P$13&gt;=2,IF(C12="","",C12),"")</f>
        <v/>
      </c>
      <c r="D256" s="61"/>
      <c r="E256" s="61"/>
      <c r="F256" s="61"/>
      <c r="G256" s="67"/>
      <c r="H256" s="63"/>
      <c r="I256" s="63"/>
      <c r="J256" s="63"/>
      <c r="K256" s="183">
        <f t="shared" si="8"/>
        <v>0</v>
      </c>
      <c r="L256" s="184"/>
      <c r="M256" s="54"/>
      <c r="N256" s="65"/>
      <c r="P256" s="151"/>
    </row>
    <row r="257" spans="1:18" ht="12.75" customHeight="1">
      <c r="A257" s="58" t="s">
        <v>24</v>
      </c>
      <c r="B257" s="61"/>
      <c r="C257" s="61" t="str">
        <f>IF($P$13&gt;=2,IF(C13="","",C13),"")</f>
        <v/>
      </c>
      <c r="D257" s="61"/>
      <c r="E257" s="61"/>
      <c r="F257" s="61"/>
      <c r="G257" s="67"/>
      <c r="H257" s="63"/>
      <c r="I257" s="63"/>
      <c r="J257" s="63"/>
      <c r="K257" s="183">
        <f t="shared" si="8"/>
        <v>0</v>
      </c>
      <c r="L257" s="184"/>
      <c r="M257" s="54"/>
      <c r="N257" s="65"/>
      <c r="P257" s="166"/>
    </row>
    <row r="258" spans="1:18" ht="12.75" customHeight="1" thickBot="1">
      <c r="A258" s="58" t="s">
        <v>25</v>
      </c>
      <c r="B258" s="61"/>
      <c r="C258" s="61" t="str">
        <f>IF($P$13&gt;=2,IF(C14="","",C14),"")</f>
        <v/>
      </c>
      <c r="D258" s="61"/>
      <c r="E258" s="61"/>
      <c r="F258" s="61"/>
      <c r="G258" s="67"/>
      <c r="H258" s="63"/>
      <c r="I258" s="63"/>
      <c r="J258" s="63"/>
      <c r="K258" s="183">
        <f t="shared" si="8"/>
        <v>0</v>
      </c>
      <c r="L258" s="184"/>
      <c r="M258" s="54"/>
      <c r="N258" s="65"/>
      <c r="P258" s="149" t="s">
        <v>107</v>
      </c>
    </row>
    <row r="259" spans="1:18" ht="12.75" customHeight="1" thickBot="1">
      <c r="A259" s="58" t="s">
        <v>26</v>
      </c>
      <c r="B259" s="53"/>
      <c r="C259" s="38" t="s">
        <v>27</v>
      </c>
      <c r="D259" s="38"/>
      <c r="E259" s="38"/>
      <c r="F259" s="38"/>
      <c r="G259" s="55"/>
      <c r="H259" s="63"/>
      <c r="I259" s="63"/>
      <c r="J259" s="63"/>
      <c r="K259" s="183">
        <f t="shared" si="8"/>
        <v>0</v>
      </c>
      <c r="L259" s="184"/>
      <c r="M259" s="54"/>
      <c r="N259" s="65"/>
      <c r="P259" s="165"/>
    </row>
    <row r="260" spans="1:18" ht="12.75" customHeight="1">
      <c r="A260" s="58" t="s">
        <v>28</v>
      </c>
      <c r="B260" s="53"/>
      <c r="C260" s="38" t="s">
        <v>29</v>
      </c>
      <c r="D260" s="38"/>
      <c r="E260" s="38"/>
      <c r="F260" s="38"/>
      <c r="G260" s="55"/>
      <c r="H260" s="63"/>
      <c r="I260" s="63"/>
      <c r="J260" s="63"/>
      <c r="K260" s="183">
        <f>SUM(K$254:K$259)</f>
        <v>0</v>
      </c>
      <c r="L260" s="184"/>
      <c r="M260" s="54"/>
      <c r="N260" s="65"/>
    </row>
    <row r="261" spans="1:18" ht="12.75" customHeight="1">
      <c r="A261" s="69" t="s">
        <v>30</v>
      </c>
      <c r="B261" s="38"/>
      <c r="C261" s="38"/>
      <c r="D261" s="38"/>
      <c r="E261" s="38"/>
      <c r="F261" s="38"/>
      <c r="G261" s="55"/>
      <c r="H261" s="136"/>
      <c r="I261" s="136"/>
      <c r="J261" s="136"/>
      <c r="K261" s="137"/>
      <c r="L261" s="138"/>
      <c r="M261" s="139"/>
      <c r="N261" s="140"/>
      <c r="P261" t="s">
        <v>106</v>
      </c>
    </row>
    <row r="262" spans="1:18" ht="12.75" customHeight="1">
      <c r="A262" s="58" t="s">
        <v>31</v>
      </c>
      <c r="B262" s="53"/>
      <c r="C262" s="38" t="s">
        <v>32</v>
      </c>
      <c r="D262" s="38"/>
      <c r="E262" s="38"/>
      <c r="F262" s="38"/>
      <c r="G262" s="55"/>
      <c r="H262" s="63"/>
      <c r="I262" s="63"/>
      <c r="J262" s="63"/>
      <c r="K262" s="183">
        <f t="shared" ref="K262:K267" si="9">IF($P$13&gt;=5,ROUND(K201+(K201*$P$8),0),0)</f>
        <v>0</v>
      </c>
      <c r="L262" s="184"/>
      <c r="M262" s="54"/>
      <c r="N262" s="65"/>
      <c r="P262" s="160">
        <v>0.41</v>
      </c>
      <c r="Q262" t="s">
        <v>108</v>
      </c>
    </row>
    <row r="263" spans="1:18" ht="12.75" customHeight="1">
      <c r="A263" s="58" t="s">
        <v>33</v>
      </c>
      <c r="B263" s="53"/>
      <c r="C263" s="38" t="s">
        <v>34</v>
      </c>
      <c r="D263" s="38"/>
      <c r="E263" s="38"/>
      <c r="F263" s="38"/>
      <c r="G263" s="38"/>
      <c r="H263" s="70"/>
      <c r="I263" s="70"/>
      <c r="J263" s="71"/>
      <c r="K263" s="183">
        <f t="shared" si="9"/>
        <v>0</v>
      </c>
      <c r="L263" s="184"/>
      <c r="M263" s="54"/>
      <c r="N263" s="65"/>
      <c r="P263" s="161">
        <v>7.6499999999999999E-2</v>
      </c>
      <c r="Q263" t="s">
        <v>109</v>
      </c>
    </row>
    <row r="264" spans="1:18" ht="12.75" customHeight="1">
      <c r="A264" s="58" t="s">
        <v>35</v>
      </c>
      <c r="B264" s="53"/>
      <c r="C264" s="61" t="s">
        <v>36</v>
      </c>
      <c r="D264" s="38"/>
      <c r="E264" s="38"/>
      <c r="F264" s="72"/>
      <c r="G264" s="38"/>
      <c r="H264" s="73"/>
      <c r="I264" s="73"/>
      <c r="J264" s="74"/>
      <c r="K264" s="183">
        <f t="shared" si="9"/>
        <v>0</v>
      </c>
      <c r="L264" s="184"/>
      <c r="M264" s="54"/>
      <c r="N264" s="65"/>
    </row>
    <row r="265" spans="1:18" ht="17.399999999999999" customHeight="1">
      <c r="A265" s="58" t="s">
        <v>37</v>
      </c>
      <c r="B265" s="53"/>
      <c r="C265" s="61" t="s">
        <v>38</v>
      </c>
      <c r="D265" s="38"/>
      <c r="E265" s="38"/>
      <c r="F265" s="72"/>
      <c r="G265" s="38"/>
      <c r="H265" s="73"/>
      <c r="I265" s="73"/>
      <c r="J265" s="74"/>
      <c r="K265" s="183">
        <f t="shared" si="9"/>
        <v>0</v>
      </c>
      <c r="L265" s="184"/>
      <c r="M265" s="54"/>
      <c r="N265" s="65"/>
      <c r="P265" s="170" t="s">
        <v>126</v>
      </c>
      <c r="Q265" s="173" t="s">
        <v>135</v>
      </c>
      <c r="R265" s="169"/>
    </row>
    <row r="266" spans="1:18" ht="12.75" customHeight="1">
      <c r="A266" s="58" t="s">
        <v>39</v>
      </c>
      <c r="B266" s="53"/>
      <c r="C266" s="61" t="s">
        <v>40</v>
      </c>
      <c r="D266" s="38"/>
      <c r="E266" s="38"/>
      <c r="F266" s="38"/>
      <c r="G266" s="38"/>
      <c r="H266" s="38"/>
      <c r="I266" s="38"/>
      <c r="J266" s="55"/>
      <c r="K266" s="183">
        <f t="shared" si="9"/>
        <v>0</v>
      </c>
      <c r="L266" s="184"/>
      <c r="M266" s="54"/>
      <c r="N266" s="65"/>
      <c r="P266" s="168" t="s">
        <v>127</v>
      </c>
      <c r="Q266" s="171">
        <f>IF($P$13&gt;4,Q205,"")</f>
        <v>0</v>
      </c>
      <c r="R266" s="172">
        <f>IF($P$13&gt;4,(Q266/12)*2162,"")</f>
        <v>0</v>
      </c>
    </row>
    <row r="267" spans="1:18" ht="12.75" customHeight="1">
      <c r="A267" s="58" t="s">
        <v>26</v>
      </c>
      <c r="B267" s="53"/>
      <c r="C267" s="61" t="s">
        <v>41</v>
      </c>
      <c r="D267" s="38"/>
      <c r="E267" s="38"/>
      <c r="F267" s="38"/>
      <c r="G267" s="38"/>
      <c r="H267" s="38"/>
      <c r="I267" s="38"/>
      <c r="J267" s="55"/>
      <c r="K267" s="183">
        <f t="shared" si="9"/>
        <v>0</v>
      </c>
      <c r="L267" s="184"/>
      <c r="M267" s="54"/>
      <c r="N267" s="65"/>
      <c r="P267" s="168" t="s">
        <v>128</v>
      </c>
      <c r="Q267" s="171">
        <f>IF($P$13&gt;4,Q206,"")</f>
        <v>0</v>
      </c>
      <c r="R267" s="172">
        <f>IF($P$13&gt;4,(Q267/9)*1730,"")</f>
        <v>0</v>
      </c>
    </row>
    <row r="268" spans="1:18" ht="12.75" customHeight="1">
      <c r="A268" s="58"/>
      <c r="B268" s="61" t="s">
        <v>42</v>
      </c>
      <c r="C268" s="61"/>
      <c r="D268" s="38"/>
      <c r="E268" s="38"/>
      <c r="F268" s="38"/>
      <c r="G268" s="38"/>
      <c r="H268" s="38"/>
      <c r="I268" s="38"/>
      <c r="J268" s="55"/>
      <c r="K268" s="183">
        <f>K$260+SUM(K$262:K$267)</f>
        <v>0</v>
      </c>
      <c r="L268" s="184"/>
      <c r="M268" s="54"/>
      <c r="N268" s="65"/>
      <c r="P268" s="168" t="s">
        <v>129</v>
      </c>
      <c r="Q268" s="171">
        <f>IF($P$13&gt;4,Q207,"")</f>
        <v>0</v>
      </c>
      <c r="R268" s="172">
        <f>IF($P$13&gt;4,(Q268/3)*432,"")</f>
        <v>0</v>
      </c>
    </row>
    <row r="269" spans="1:18" ht="12.75" customHeight="1">
      <c r="A269" s="69" t="s">
        <v>43</v>
      </c>
      <c r="B269" s="38"/>
      <c r="C269" s="38"/>
      <c r="D269" s="38"/>
      <c r="E269" s="38"/>
      <c r="F269" s="38"/>
      <c r="G269" s="75" t="s">
        <v>44</v>
      </c>
      <c r="H269" s="76"/>
      <c r="I269" s="38"/>
      <c r="J269" s="55"/>
      <c r="K269" s="185">
        <f>IF(P13&gt;4,ROUND(((K268-K265-K264-P259)*P262)+(P259*P263)+R269,0),0)</f>
        <v>0</v>
      </c>
      <c r="L269" s="186"/>
      <c r="M269" s="54"/>
      <c r="N269" s="65"/>
      <c r="P269" s="169"/>
      <c r="Q269" s="169"/>
      <c r="R269" s="172">
        <f>IF($P$13&gt;4,SUM(R266:R268),"")</f>
        <v>0</v>
      </c>
    </row>
    <row r="270" spans="1:18" ht="12.75" customHeight="1">
      <c r="A270" s="69"/>
      <c r="B270" s="61" t="s">
        <v>45</v>
      </c>
      <c r="C270" s="38"/>
      <c r="D270" s="38"/>
      <c r="E270" s="38"/>
      <c r="F270" s="38"/>
      <c r="G270" s="38"/>
      <c r="H270" s="38"/>
      <c r="I270" s="38"/>
      <c r="J270" s="55"/>
      <c r="K270" s="183">
        <f>K$268+K$269</f>
        <v>0</v>
      </c>
      <c r="L270" s="184"/>
      <c r="M270" s="54"/>
      <c r="N270" s="65"/>
    </row>
    <row r="271" spans="1:18" ht="12.75" customHeight="1">
      <c r="A271" s="32" t="s">
        <v>46</v>
      </c>
      <c r="J271" s="46"/>
      <c r="K271" s="134"/>
      <c r="L271" s="141"/>
      <c r="M271" s="134"/>
      <c r="N271" s="135"/>
    </row>
    <row r="272" spans="1:18" ht="12.75" customHeight="1">
      <c r="A272" s="32"/>
      <c r="B272" s="77"/>
      <c r="C272" s="143"/>
      <c r="H272" s="78"/>
      <c r="I272" s="2"/>
      <c r="J272" s="46"/>
      <c r="K272" s="134"/>
      <c r="L272" s="141"/>
      <c r="M272" s="134"/>
      <c r="N272" s="135"/>
    </row>
    <row r="273" spans="1:18" ht="12.75" customHeight="1">
      <c r="A273" s="32"/>
      <c r="B273" s="79"/>
      <c r="J273" s="46"/>
      <c r="K273" s="134"/>
      <c r="L273" s="141"/>
      <c r="M273" s="134"/>
      <c r="N273" s="135"/>
    </row>
    <row r="274" spans="1:18" ht="12.75" customHeight="1">
      <c r="A274" s="32"/>
      <c r="J274" s="46"/>
      <c r="K274" s="134"/>
      <c r="L274" s="141"/>
      <c r="M274" s="134"/>
      <c r="N274" s="135"/>
    </row>
    <row r="275" spans="1:18" ht="12.75" customHeight="1">
      <c r="A275" s="69"/>
      <c r="B275" s="61" t="s">
        <v>47</v>
      </c>
      <c r="C275" s="38"/>
      <c r="D275" s="38"/>
      <c r="E275" s="38"/>
      <c r="F275" s="38"/>
      <c r="G275" s="38"/>
      <c r="H275" s="38"/>
      <c r="I275" s="38"/>
      <c r="J275" s="55"/>
      <c r="K275" s="183"/>
      <c r="L275" s="184"/>
      <c r="M275" s="80"/>
      <c r="N275" s="81"/>
    </row>
    <row r="276" spans="1:18" ht="12.75" customHeight="1">
      <c r="A276" s="69" t="s">
        <v>48</v>
      </c>
      <c r="B276" s="38"/>
      <c r="C276" s="38"/>
      <c r="D276" s="38" t="s">
        <v>124</v>
      </c>
      <c r="E276" s="38"/>
      <c r="F276" s="38"/>
      <c r="G276" s="38"/>
      <c r="H276" s="38"/>
      <c r="I276" s="38"/>
      <c r="J276" s="55"/>
      <c r="K276" s="183">
        <f>IF($P$13&gt;=5,ROUND(K215+(K215*$P$11),0),0)</f>
        <v>0</v>
      </c>
      <c r="L276" s="184"/>
      <c r="M276" s="54"/>
      <c r="N276" s="65"/>
    </row>
    <row r="277" spans="1:18" ht="12.75" customHeight="1">
      <c r="A277" s="69"/>
      <c r="B277" s="38"/>
      <c r="C277" s="38"/>
      <c r="D277" s="38" t="s">
        <v>49</v>
      </c>
      <c r="E277" s="38"/>
      <c r="F277" s="38"/>
      <c r="G277" s="38"/>
      <c r="H277" s="38"/>
      <c r="I277" s="38"/>
      <c r="J277" s="55"/>
      <c r="K277" s="183">
        <f>IF($P$13&gt;=5,ROUND(K216+(K216*$P$11),0),0)</f>
        <v>0</v>
      </c>
      <c r="L277" s="184"/>
      <c r="M277" s="54"/>
      <c r="N277" s="65"/>
    </row>
    <row r="278" spans="1:18" ht="12.75" customHeight="1">
      <c r="A278" s="32" t="s">
        <v>50</v>
      </c>
      <c r="J278" s="46"/>
      <c r="K278" s="134"/>
      <c r="L278" s="141"/>
      <c r="M278" s="134"/>
      <c r="N278" s="135"/>
    </row>
    <row r="279" spans="1:18" ht="12.75" customHeight="1">
      <c r="A279" s="32"/>
      <c r="B279" s="8" t="s">
        <v>51</v>
      </c>
      <c r="D279" s="82"/>
      <c r="E279" s="83"/>
      <c r="J279" s="46"/>
      <c r="K279" s="134"/>
      <c r="L279" s="141"/>
      <c r="M279" s="134"/>
      <c r="N279" s="135"/>
    </row>
    <row r="280" spans="1:18" ht="12.75" customHeight="1">
      <c r="A280" s="32"/>
      <c r="B280" s="8" t="s">
        <v>52</v>
      </c>
      <c r="E280" s="83"/>
      <c r="J280" s="46"/>
      <c r="K280" s="134"/>
      <c r="L280" s="141"/>
      <c r="M280" s="134"/>
      <c r="N280" s="135"/>
    </row>
    <row r="281" spans="1:18" ht="12.75" customHeight="1">
      <c r="A281" s="32"/>
      <c r="B281" s="8" t="s">
        <v>53</v>
      </c>
      <c r="E281" s="83"/>
      <c r="J281" s="46"/>
      <c r="K281" s="134"/>
      <c r="L281" s="141"/>
      <c r="M281" s="134"/>
      <c r="N281" s="135"/>
    </row>
    <row r="282" spans="1:18" ht="12.75" customHeight="1">
      <c r="A282" s="32"/>
      <c r="B282" s="8" t="s">
        <v>54</v>
      </c>
      <c r="E282" s="83"/>
      <c r="J282" s="46"/>
      <c r="K282" s="134"/>
      <c r="L282" s="141"/>
      <c r="M282" s="134"/>
      <c r="N282" s="135"/>
    </row>
    <row r="283" spans="1:18" ht="12.75" customHeight="1">
      <c r="A283" s="69"/>
      <c r="B283" s="38"/>
      <c r="C283" s="38"/>
      <c r="D283" s="38"/>
      <c r="E283" s="38"/>
      <c r="F283" s="38"/>
      <c r="G283" s="38"/>
      <c r="H283" s="38"/>
      <c r="I283" s="38"/>
      <c r="J283" s="55"/>
      <c r="K283" s="139"/>
      <c r="L283" s="142"/>
      <c r="M283" s="139"/>
      <c r="N283" s="140"/>
    </row>
    <row r="284" spans="1:18" ht="12.75" customHeight="1">
      <c r="A284" s="58" t="s">
        <v>100</v>
      </c>
      <c r="B284" s="61"/>
      <c r="C284" s="61"/>
      <c r="D284" s="38"/>
      <c r="E284" s="38"/>
      <c r="F284" s="144"/>
      <c r="G284" s="38"/>
      <c r="H284" s="38"/>
      <c r="I284" s="38"/>
      <c r="J284" s="145" t="s">
        <v>99</v>
      </c>
      <c r="K284" s="183">
        <f>SUM($E$279:$E$282)</f>
        <v>0</v>
      </c>
      <c r="L284" s="184"/>
      <c r="M284" s="54"/>
      <c r="N284" s="65"/>
    </row>
    <row r="285" spans="1:18" ht="12.75" customHeight="1">
      <c r="A285" s="69" t="s">
        <v>55</v>
      </c>
      <c r="B285" s="38"/>
      <c r="C285" s="38"/>
      <c r="D285" s="38"/>
      <c r="E285" s="38"/>
      <c r="F285" s="38"/>
      <c r="G285" s="38"/>
      <c r="H285" s="38"/>
      <c r="I285" s="38"/>
      <c r="J285" s="55"/>
      <c r="K285" s="139"/>
      <c r="L285" s="142"/>
      <c r="M285" s="139"/>
      <c r="N285" s="140"/>
    </row>
    <row r="286" spans="1:18" ht="12.75" customHeight="1">
      <c r="A286" s="69"/>
      <c r="B286" s="38" t="s">
        <v>56</v>
      </c>
      <c r="C286" s="38"/>
      <c r="D286" s="38"/>
      <c r="E286" s="38"/>
      <c r="F286" s="38"/>
      <c r="G286" s="38"/>
      <c r="H286" s="38"/>
      <c r="I286" s="38"/>
      <c r="J286" s="55"/>
      <c r="K286" s="183">
        <f>IF($P$13&gt;=5,ROUND(K225+(K225*$P$11),0),0)</f>
        <v>0</v>
      </c>
      <c r="L286" s="184"/>
      <c r="M286" s="54"/>
      <c r="N286" s="65"/>
    </row>
    <row r="287" spans="1:18" ht="12.75" customHeight="1">
      <c r="A287" s="69"/>
      <c r="B287" s="38" t="s">
        <v>57</v>
      </c>
      <c r="C287" s="38"/>
      <c r="D287" s="38"/>
      <c r="E287" s="38"/>
      <c r="F287" s="38"/>
      <c r="G287" s="38"/>
      <c r="H287" s="38"/>
      <c r="I287" s="38"/>
      <c r="J287" s="55"/>
      <c r="K287" s="183">
        <f>IF($P$13&gt;=5,ROUND(K226+(K226*$P$11),0),0)</f>
        <v>0</v>
      </c>
      <c r="L287" s="184"/>
      <c r="M287" s="54"/>
      <c r="N287" s="65"/>
    </row>
    <row r="288" spans="1:18" ht="12.75" customHeight="1">
      <c r="A288" s="69"/>
      <c r="B288" s="38" t="s">
        <v>58</v>
      </c>
      <c r="C288" s="38"/>
      <c r="D288" s="38"/>
      <c r="E288" s="38"/>
      <c r="F288" s="38"/>
      <c r="G288" s="38"/>
      <c r="H288" s="38"/>
      <c r="I288" s="38"/>
      <c r="J288" s="55"/>
      <c r="K288" s="183">
        <f>IF($P$13&gt;=5,ROUND(K227+(K227*$P$11),0),0)</f>
        <v>0</v>
      </c>
      <c r="L288" s="184"/>
      <c r="M288" s="54"/>
      <c r="N288" s="65"/>
      <c r="P288" s="86" t="s">
        <v>63</v>
      </c>
      <c r="R288" s="85" t="s">
        <v>61</v>
      </c>
    </row>
    <row r="289" spans="1:18" ht="12.75" customHeight="1">
      <c r="A289" s="69"/>
      <c r="B289" s="38" t="s">
        <v>59</v>
      </c>
      <c r="C289" s="38"/>
      <c r="D289" s="38"/>
      <c r="E289" s="38"/>
      <c r="F289" s="38"/>
      <c r="G289" s="38"/>
      <c r="H289" s="38"/>
      <c r="I289" s="38"/>
      <c r="J289" s="55"/>
      <c r="K289" s="183">
        <f>IF($P$13&gt;=5,ROUND(K228+(K228*$P$11),0),0)</f>
        <v>0</v>
      </c>
      <c r="L289" s="184"/>
      <c r="M289" s="54"/>
      <c r="N289" s="65"/>
      <c r="P289" s="86" t="s">
        <v>66</v>
      </c>
      <c r="Q289" s="87" t="s">
        <v>95</v>
      </c>
      <c r="R289" s="85" t="s">
        <v>64</v>
      </c>
    </row>
    <row r="290" spans="1:18" ht="12.75" customHeight="1">
      <c r="A290" s="69"/>
      <c r="B290" s="38" t="s">
        <v>60</v>
      </c>
      <c r="C290" s="38"/>
      <c r="D290" s="38"/>
      <c r="E290" s="38"/>
      <c r="F290" s="38"/>
      <c r="G290" s="38"/>
      <c r="H290" s="38"/>
      <c r="I290" s="38"/>
      <c r="J290" s="55"/>
      <c r="K290" s="183">
        <f>SUM(Q290:Q293)</f>
        <v>0</v>
      </c>
      <c r="L290" s="184"/>
      <c r="M290" s="54"/>
      <c r="N290" s="65"/>
      <c r="P290" s="88" t="s">
        <v>70</v>
      </c>
      <c r="Q290" s="89"/>
      <c r="R290" s="85" t="s">
        <v>68</v>
      </c>
    </row>
    <row r="291" spans="1:18" ht="12.75" customHeight="1">
      <c r="A291" s="69"/>
      <c r="B291" s="38" t="s">
        <v>62</v>
      </c>
      <c r="C291" s="38"/>
      <c r="D291" s="38"/>
      <c r="E291" s="38"/>
      <c r="F291" s="72"/>
      <c r="G291" s="38"/>
      <c r="H291" s="38"/>
      <c r="I291" s="38"/>
      <c r="J291" s="55"/>
      <c r="K291" s="183">
        <f>Q297+Q298</f>
        <v>0</v>
      </c>
      <c r="L291" s="184"/>
      <c r="M291" s="54"/>
      <c r="N291" s="65"/>
      <c r="P291" s="92" t="s">
        <v>72</v>
      </c>
      <c r="Q291" s="93"/>
      <c r="R291" s="90">
        <f>IF(Q290+R47+R108+R169+R230&gt;=25000,25000-(R47+R108+R169+R230),Q290)</f>
        <v>0</v>
      </c>
    </row>
    <row r="292" spans="1:18" ht="12.75" customHeight="1">
      <c r="A292" s="69"/>
      <c r="B292" s="38"/>
      <c r="C292" s="38" t="s">
        <v>65</v>
      </c>
      <c r="D292" s="38"/>
      <c r="E292" s="38"/>
      <c r="F292" s="38"/>
      <c r="G292" s="38"/>
      <c r="H292" s="38"/>
      <c r="I292" s="38"/>
      <c r="J292" s="55"/>
      <c r="K292" s="183">
        <f>SUM(K$286:K$291)</f>
        <v>0</v>
      </c>
      <c r="L292" s="184"/>
      <c r="M292" s="54"/>
      <c r="N292" s="65"/>
      <c r="P292" s="92" t="s">
        <v>74</v>
      </c>
      <c r="Q292" s="93"/>
      <c r="R292" s="90">
        <f>IF(Q291+R48+R109+R170+R231&gt;=25000,25000-(R48+R109+R170+R231),Q291)</f>
        <v>0</v>
      </c>
    </row>
    <row r="293" spans="1:18" ht="12.75" customHeight="1">
      <c r="A293" s="69" t="s">
        <v>69</v>
      </c>
      <c r="B293" s="38"/>
      <c r="C293" s="38"/>
      <c r="D293" s="38"/>
      <c r="E293" s="38"/>
      <c r="F293" s="38"/>
      <c r="G293" s="38"/>
      <c r="H293" s="38"/>
      <c r="I293" s="38"/>
      <c r="J293" s="55"/>
      <c r="K293" s="183">
        <f>K$270+SUM(K$275:K$277)+K$284+K$292</f>
        <v>0</v>
      </c>
      <c r="L293" s="184"/>
      <c r="M293" s="54"/>
      <c r="N293" s="65"/>
      <c r="P293" s="98" t="s">
        <v>77</v>
      </c>
      <c r="Q293" s="99"/>
      <c r="R293" s="90">
        <f>IF(Q292+R49+R110+R171+R232&gt;=25000,25000-(R49+R110+R171+R232),Q292)</f>
        <v>0</v>
      </c>
    </row>
    <row r="294" spans="1:18" ht="12.75" customHeight="1">
      <c r="A294" s="32" t="s">
        <v>71</v>
      </c>
      <c r="J294" s="46"/>
      <c r="K294" s="132"/>
      <c r="L294" s="133"/>
      <c r="M294" s="134"/>
      <c r="N294" s="135"/>
      <c r="R294" s="90">
        <f>IF(Q293+R50+R111+R172+R233&gt;=25000,25000-(R50+R111+R172+R233),Q293)</f>
        <v>0</v>
      </c>
    </row>
    <row r="295" spans="1:18" ht="12.75" customHeight="1">
      <c r="A295" s="94" t="s">
        <v>73</v>
      </c>
      <c r="B295" s="2"/>
      <c r="C295" s="2"/>
      <c r="D295" s="2"/>
      <c r="E295" s="5"/>
      <c r="F295" s="5"/>
      <c r="G295" s="187">
        <f>IF(R291&gt;25000,"25000",R291)+IF(R292&gt;25000,"25000",R292)+IF(R293&gt;25000,"25000",R293)+IF(R294&gt;25000,"25000",R294)+K293-K275-K284-K290-Q297</f>
        <v>0</v>
      </c>
      <c r="H295" s="187"/>
      <c r="J295" s="46"/>
      <c r="K295" s="132"/>
      <c r="L295" s="133"/>
      <c r="M295" s="134"/>
      <c r="N295" s="135"/>
      <c r="P295" s="149" t="s">
        <v>114</v>
      </c>
    </row>
    <row r="296" spans="1:18" ht="12.75" customHeight="1">
      <c r="A296" s="69" t="s">
        <v>75</v>
      </c>
      <c r="B296" s="38"/>
      <c r="C296" s="38"/>
      <c r="D296" s="38"/>
      <c r="E296" s="38"/>
      <c r="F296" s="38"/>
      <c r="G296" s="75" t="s">
        <v>76</v>
      </c>
      <c r="H296" s="95">
        <f>IF(P13&gt;4,H52,0)</f>
        <v>0.5</v>
      </c>
      <c r="I296" s="38"/>
      <c r="J296" s="55"/>
      <c r="K296" s="183">
        <f>ROUND($G$295 * $H$296,0)</f>
        <v>0</v>
      </c>
      <c r="L296" s="184"/>
      <c r="M296" s="96"/>
      <c r="N296" s="97"/>
      <c r="P296" s="149" t="s">
        <v>113</v>
      </c>
      <c r="Q296" s="162" t="s">
        <v>95</v>
      </c>
    </row>
    <row r="297" spans="1:18" ht="12.75" customHeight="1">
      <c r="A297" s="69" t="s">
        <v>78</v>
      </c>
      <c r="B297" s="38"/>
      <c r="C297" s="38"/>
      <c r="D297" s="38"/>
      <c r="E297" s="38"/>
      <c r="F297" s="38"/>
      <c r="G297" s="38"/>
      <c r="H297" s="38"/>
      <c r="I297" s="38"/>
      <c r="J297" s="55"/>
      <c r="K297" s="84">
        <f>K$293+K$296</f>
        <v>0</v>
      </c>
      <c r="L297" s="68"/>
      <c r="M297" s="54"/>
      <c r="N297" s="65"/>
      <c r="P297" s="162" t="s">
        <v>111</v>
      </c>
      <c r="Q297" s="164">
        <f>IF(P13&gt;4,ROUND(K264*R298,0),0)</f>
        <v>0</v>
      </c>
    </row>
    <row r="298" spans="1:18" ht="12.75" customHeight="1">
      <c r="A298" s="69" t="s">
        <v>79</v>
      </c>
      <c r="B298" s="38"/>
      <c r="C298" s="38"/>
      <c r="D298" s="38"/>
      <c r="E298" s="38"/>
      <c r="F298" s="38"/>
      <c r="G298" s="38"/>
      <c r="H298" s="38"/>
      <c r="I298" s="38"/>
      <c r="J298" s="55"/>
      <c r="K298" s="84"/>
      <c r="L298" s="68"/>
      <c r="M298" s="54"/>
      <c r="N298" s="65"/>
      <c r="P298" s="162" t="s">
        <v>112</v>
      </c>
      <c r="Q298" s="164">
        <f>IF($P$13&gt;=5,ROUND(Q237+(Q237*$P$11),0),0)</f>
        <v>0</v>
      </c>
      <c r="R298" s="160">
        <v>0.38</v>
      </c>
    </row>
    <row r="299" spans="1:18" ht="12.75" customHeight="1" thickBot="1">
      <c r="A299" s="101" t="s">
        <v>80</v>
      </c>
      <c r="B299" s="40"/>
      <c r="C299" s="40"/>
      <c r="D299" s="40"/>
      <c r="E299" s="40"/>
      <c r="F299" s="40"/>
      <c r="G299" s="40"/>
      <c r="H299" s="40"/>
      <c r="I299" s="40"/>
      <c r="J299" s="41"/>
      <c r="K299" s="102">
        <f>K$297-K$298</f>
        <v>0</v>
      </c>
      <c r="L299" s="103"/>
      <c r="M299" s="104"/>
      <c r="N299" s="105"/>
    </row>
    <row r="300" spans="1:18" ht="12.75" customHeight="1" thickBot="1">
      <c r="A300" s="101" t="s">
        <v>81</v>
      </c>
      <c r="B300" s="40"/>
      <c r="C300" s="40"/>
      <c r="D300" s="40"/>
      <c r="E300" s="40"/>
      <c r="F300" s="102"/>
      <c r="G300" s="106" t="s">
        <v>82</v>
      </c>
      <c r="H300" s="40"/>
      <c r="I300" s="40"/>
      <c r="J300" s="42"/>
      <c r="K300" s="102"/>
      <c r="L300" s="102"/>
      <c r="M300" s="42"/>
      <c r="N300" s="107"/>
    </row>
    <row r="301" spans="1:18" ht="12.75" customHeight="1">
      <c r="A301" s="32" t="s">
        <v>121</v>
      </c>
      <c r="F301" s="46"/>
      <c r="G301" s="36" t="s">
        <v>83</v>
      </c>
      <c r="H301" s="108" t="s">
        <v>1</v>
      </c>
      <c r="I301" s="26"/>
      <c r="J301" s="26"/>
      <c r="K301" s="26"/>
      <c r="L301" s="26"/>
      <c r="M301" s="26"/>
      <c r="N301" s="57"/>
    </row>
    <row r="302" spans="1:18" ht="12.75" customHeight="1">
      <c r="A302" s="69" t="str">
        <f>A6</f>
        <v>(Type PI name in Year 1 cell A6 and sheet will auto-fill where needed)</v>
      </c>
      <c r="B302" s="38"/>
      <c r="C302" s="38"/>
      <c r="D302" s="38"/>
      <c r="E302" s="38"/>
      <c r="F302" s="61"/>
      <c r="G302" s="109"/>
      <c r="H302" s="26" t="s">
        <v>84</v>
      </c>
      <c r="I302" s="26"/>
      <c r="J302" s="26"/>
      <c r="K302" s="26"/>
      <c r="L302" s="26"/>
      <c r="M302" s="26"/>
      <c r="N302" s="57"/>
    </row>
    <row r="303" spans="1:18" ht="12.75" customHeight="1">
      <c r="A303" s="32" t="s">
        <v>120</v>
      </c>
      <c r="F303" s="46"/>
      <c r="G303" s="36" t="s">
        <v>83</v>
      </c>
      <c r="H303" s="2" t="s">
        <v>85</v>
      </c>
      <c r="I303" s="35"/>
      <c r="J303" s="2" t="s">
        <v>86</v>
      </c>
      <c r="K303" s="2"/>
      <c r="L303" s="35"/>
      <c r="M303" s="2" t="s">
        <v>87</v>
      </c>
      <c r="N303" s="50"/>
    </row>
    <row r="304" spans="1:18" ht="12.75" customHeight="1" thickBot="1">
      <c r="A304" s="101" t="str">
        <f>A60</f>
        <v>Darya Courville, Executive Director, Sponsored Programs</v>
      </c>
      <c r="B304" s="40"/>
      <c r="C304" s="40"/>
      <c r="D304" s="40"/>
      <c r="E304" s="40"/>
      <c r="F304" s="41"/>
      <c r="G304" s="44"/>
      <c r="H304" s="40"/>
      <c r="I304" s="41"/>
      <c r="J304" s="40"/>
      <c r="K304" s="40"/>
      <c r="L304" s="41"/>
      <c r="M304" s="40"/>
      <c r="N304" s="44"/>
    </row>
    <row r="305" spans="1:14" ht="12.75" customHeight="1">
      <c r="A305" s="110" t="s">
        <v>116</v>
      </c>
      <c r="B305" s="110"/>
      <c r="C305" s="110"/>
      <c r="D305" s="110"/>
      <c r="E305" s="111"/>
      <c r="F305" s="110"/>
      <c r="G305"/>
      <c r="N305" s="112"/>
    </row>
    <row r="306" spans="1:14" ht="16.2" thickBot="1">
      <c r="A306" s="1"/>
      <c r="B306" s="2"/>
      <c r="C306" s="2"/>
      <c r="D306" s="3"/>
      <c r="E306" s="4"/>
      <c r="F306" s="5"/>
      <c r="G306" s="6"/>
      <c r="H306" s="7"/>
      <c r="K306" s="115" t="s">
        <v>96</v>
      </c>
      <c r="L306" s="5"/>
      <c r="M306" s="2"/>
    </row>
    <row r="307" spans="1:14" ht="16.2" thickBot="1">
      <c r="A307" s="1" t="s">
        <v>97</v>
      </c>
      <c r="B307" s="2"/>
      <c r="C307" s="2"/>
      <c r="D307" s="2"/>
      <c r="E307" s="1"/>
      <c r="F307" s="5"/>
      <c r="G307" s="6"/>
      <c r="H307" s="7"/>
      <c r="I307" s="12" t="s">
        <v>1</v>
      </c>
      <c r="J307" s="13"/>
      <c r="K307" s="13"/>
      <c r="L307" s="13"/>
      <c r="M307" s="13"/>
      <c r="N307" s="14"/>
    </row>
    <row r="308" spans="1:14">
      <c r="A308" s="15" t="s">
        <v>2</v>
      </c>
      <c r="B308" s="16"/>
      <c r="C308" s="16"/>
      <c r="D308" s="16"/>
      <c r="E308" s="16"/>
      <c r="F308" s="16"/>
      <c r="G308" s="16"/>
      <c r="H308" s="16"/>
      <c r="I308" s="17" t="s">
        <v>3</v>
      </c>
      <c r="J308" s="18"/>
      <c r="K308" s="19"/>
      <c r="L308" s="20" t="s">
        <v>4</v>
      </c>
      <c r="M308" s="20"/>
      <c r="N308" s="21"/>
    </row>
    <row r="309" spans="1:14">
      <c r="A309" s="22" t="s">
        <v>5</v>
      </c>
      <c r="B309" s="23"/>
      <c r="C309" s="24"/>
      <c r="D309" s="24"/>
      <c r="E309" s="24"/>
      <c r="F309" s="24"/>
      <c r="G309" s="24"/>
      <c r="H309" s="25"/>
      <c r="I309" s="26"/>
      <c r="J309" s="26"/>
      <c r="K309" s="27"/>
      <c r="L309" s="26" t="s">
        <v>6</v>
      </c>
      <c r="M309" s="28"/>
      <c r="N309" s="29" t="s">
        <v>7</v>
      </c>
    </row>
    <row r="310" spans="1:14">
      <c r="A310" s="32" t="s">
        <v>8</v>
      </c>
      <c r="I310" s="33" t="s">
        <v>9</v>
      </c>
      <c r="J310" s="2"/>
      <c r="K310" s="34"/>
      <c r="L310" s="2"/>
      <c r="M310" s="35"/>
      <c r="N310" s="36"/>
    </row>
    <row r="311" spans="1:14" ht="13.8" thickBot="1">
      <c r="A311" s="37" t="str">
        <f>A6</f>
        <v>(Type PI name in Year 1 cell A6 and sheet will auto-fill where needed)</v>
      </c>
      <c r="B311" s="23"/>
      <c r="C311" s="38"/>
      <c r="D311" s="38"/>
      <c r="E311" s="38"/>
      <c r="F311" s="38"/>
      <c r="G311" s="38"/>
      <c r="H311" s="38"/>
      <c r="I311" s="39"/>
      <c r="J311" s="40"/>
      <c r="K311" s="41"/>
      <c r="L311" s="42"/>
      <c r="M311" s="43"/>
      <c r="N311" s="44"/>
    </row>
    <row r="312" spans="1:14">
      <c r="A312" s="32" t="s">
        <v>10</v>
      </c>
      <c r="E312" s="45"/>
      <c r="G312" s="46"/>
      <c r="H312" s="47" t="s">
        <v>11</v>
      </c>
      <c r="I312" s="2"/>
      <c r="J312" s="48"/>
      <c r="K312" s="47" t="s">
        <v>12</v>
      </c>
      <c r="L312" s="49"/>
      <c r="M312" s="47" t="s">
        <v>12</v>
      </c>
      <c r="N312" s="50"/>
    </row>
    <row r="313" spans="1:14">
      <c r="A313" s="32"/>
      <c r="B313" s="45" t="s">
        <v>98</v>
      </c>
      <c r="G313" s="46"/>
      <c r="H313" s="51" t="s">
        <v>13</v>
      </c>
      <c r="I313" s="26"/>
      <c r="J313" s="27"/>
      <c r="K313" s="47" t="s">
        <v>14</v>
      </c>
      <c r="L313" s="35"/>
      <c r="M313" s="47" t="s">
        <v>15</v>
      </c>
      <c r="N313" s="50"/>
    </row>
    <row r="314" spans="1:14">
      <c r="A314" s="52"/>
      <c r="B314" s="53"/>
      <c r="C314" s="54"/>
      <c r="D314" s="38"/>
      <c r="E314" s="38"/>
      <c r="F314" s="38"/>
      <c r="G314" s="55"/>
      <c r="H314" s="56" t="s">
        <v>16</v>
      </c>
      <c r="I314" s="56" t="s">
        <v>17</v>
      </c>
      <c r="J314" s="27" t="s">
        <v>18</v>
      </c>
      <c r="K314" s="51" t="s">
        <v>19</v>
      </c>
      <c r="L314" s="27"/>
      <c r="M314" s="51" t="s">
        <v>20</v>
      </c>
      <c r="N314" s="57"/>
    </row>
    <row r="315" spans="1:14" ht="12.75" customHeight="1">
      <c r="A315" s="58" t="s">
        <v>21</v>
      </c>
      <c r="B315" s="59"/>
      <c r="C315" s="61" t="str">
        <f>A311</f>
        <v>(Type PI name in Year 1 cell A6 and sheet will auto-fill where needed)</v>
      </c>
      <c r="D315" s="61"/>
      <c r="E315" s="61"/>
      <c r="F315" s="61"/>
      <c r="G315" s="62"/>
      <c r="H315" s="63"/>
      <c r="I315" s="63"/>
      <c r="J315" s="63"/>
      <c r="K315" s="84">
        <f t="shared" ref="K315:K321" si="10">SUM(K10+K71+K132+K193+K254)</f>
        <v>0</v>
      </c>
      <c r="L315" s="68"/>
      <c r="M315" s="64"/>
      <c r="N315" s="65"/>
    </row>
    <row r="316" spans="1:14" ht="12.75" customHeight="1">
      <c r="A316" s="58" t="s">
        <v>22</v>
      </c>
      <c r="B316" s="66"/>
      <c r="C316" s="61" t="str">
        <f>IF(C11="","",C11)</f>
        <v/>
      </c>
      <c r="D316" s="61"/>
      <c r="E316" s="61"/>
      <c r="F316" s="61"/>
      <c r="G316" s="67"/>
      <c r="H316" s="63"/>
      <c r="I316" s="63"/>
      <c r="J316" s="63"/>
      <c r="K316" s="84">
        <f t="shared" si="10"/>
        <v>0</v>
      </c>
      <c r="L316" s="68"/>
      <c r="M316" s="54"/>
      <c r="N316" s="65"/>
    </row>
    <row r="317" spans="1:14" ht="12.75" customHeight="1">
      <c r="A317" s="58" t="s">
        <v>23</v>
      </c>
      <c r="B317" s="61"/>
      <c r="C317" s="61" t="str">
        <f t="shared" ref="C317:C319" si="11">IF(C12="","",C12)</f>
        <v/>
      </c>
      <c r="D317" s="61"/>
      <c r="E317" s="61"/>
      <c r="F317" s="61"/>
      <c r="G317" s="67"/>
      <c r="H317" s="63"/>
      <c r="I317" s="63"/>
      <c r="J317" s="63"/>
      <c r="K317" s="84">
        <f t="shared" si="10"/>
        <v>0</v>
      </c>
      <c r="L317" s="68"/>
      <c r="M317" s="54"/>
      <c r="N317" s="65"/>
    </row>
    <row r="318" spans="1:14" ht="12.75" customHeight="1">
      <c r="A318" s="58" t="s">
        <v>24</v>
      </c>
      <c r="B318" s="61"/>
      <c r="C318" s="61" t="str">
        <f t="shared" si="11"/>
        <v/>
      </c>
      <c r="D318" s="61"/>
      <c r="E318" s="61"/>
      <c r="F318" s="61"/>
      <c r="G318" s="67"/>
      <c r="H318" s="63"/>
      <c r="I318" s="63"/>
      <c r="J318" s="63"/>
      <c r="K318" s="84">
        <f t="shared" si="10"/>
        <v>0</v>
      </c>
      <c r="L318" s="68"/>
      <c r="M318" s="54"/>
      <c r="N318" s="65"/>
    </row>
    <row r="319" spans="1:14" ht="12.75" customHeight="1">
      <c r="A319" s="58" t="s">
        <v>25</v>
      </c>
      <c r="B319" s="61"/>
      <c r="C319" s="61" t="str">
        <f t="shared" si="11"/>
        <v/>
      </c>
      <c r="D319" s="61"/>
      <c r="E319" s="61"/>
      <c r="F319" s="61"/>
      <c r="G319" s="67"/>
      <c r="H319" s="63"/>
      <c r="I319" s="63"/>
      <c r="J319" s="63"/>
      <c r="K319" s="84">
        <f t="shared" si="10"/>
        <v>0</v>
      </c>
      <c r="L319" s="68"/>
      <c r="M319" s="54"/>
      <c r="N319" s="65"/>
    </row>
    <row r="320" spans="1:14" ht="12.75" customHeight="1">
      <c r="A320" s="58" t="s">
        <v>26</v>
      </c>
      <c r="B320" s="53"/>
      <c r="C320" s="38" t="s">
        <v>27</v>
      </c>
      <c r="D320" s="38"/>
      <c r="E320" s="38"/>
      <c r="F320" s="38"/>
      <c r="G320" s="55"/>
      <c r="H320" s="63"/>
      <c r="I320" s="63"/>
      <c r="J320" s="63"/>
      <c r="K320" s="84">
        <f t="shared" si="10"/>
        <v>0</v>
      </c>
      <c r="L320" s="68"/>
      <c r="M320" s="54"/>
      <c r="N320" s="65"/>
    </row>
    <row r="321" spans="1:14" ht="12.75" customHeight="1">
      <c r="A321" s="58" t="s">
        <v>28</v>
      </c>
      <c r="B321" s="53"/>
      <c r="C321" s="38" t="s">
        <v>29</v>
      </c>
      <c r="D321" s="38"/>
      <c r="E321" s="38"/>
      <c r="F321" s="38"/>
      <c r="G321" s="55"/>
      <c r="H321" s="63"/>
      <c r="I321" s="63"/>
      <c r="J321" s="63"/>
      <c r="K321" s="84">
        <f t="shared" si="10"/>
        <v>0</v>
      </c>
      <c r="L321" s="68"/>
      <c r="M321" s="54"/>
      <c r="N321" s="65"/>
    </row>
    <row r="322" spans="1:14" ht="12.75" customHeight="1">
      <c r="A322" s="69" t="s">
        <v>30</v>
      </c>
      <c r="B322" s="38"/>
      <c r="C322" s="38"/>
      <c r="D322" s="38"/>
      <c r="E322" s="38"/>
      <c r="F322" s="38"/>
      <c r="G322" s="55"/>
      <c r="H322" s="136"/>
      <c r="I322" s="136"/>
      <c r="J322" s="136"/>
      <c r="K322" s="137"/>
      <c r="L322" s="138"/>
      <c r="M322" s="139"/>
      <c r="N322" s="140"/>
    </row>
    <row r="323" spans="1:14" ht="12.75" customHeight="1">
      <c r="A323" s="58" t="s">
        <v>31</v>
      </c>
      <c r="B323" s="53"/>
      <c r="C323" s="38" t="s">
        <v>32</v>
      </c>
      <c r="D323" s="38"/>
      <c r="E323" s="38"/>
      <c r="F323" s="38"/>
      <c r="G323" s="55"/>
      <c r="H323" s="63"/>
      <c r="I323" s="63"/>
      <c r="J323" s="63"/>
      <c r="K323" s="84">
        <f t="shared" ref="K323:K328" si="12">SUM(K18+K79+K140+K201+K262)</f>
        <v>0</v>
      </c>
      <c r="L323" s="68"/>
      <c r="M323" s="54"/>
      <c r="N323" s="65"/>
    </row>
    <row r="324" spans="1:14" ht="12.75" customHeight="1">
      <c r="A324" s="58" t="s">
        <v>33</v>
      </c>
      <c r="B324" s="53"/>
      <c r="C324" s="38" t="s">
        <v>34</v>
      </c>
      <c r="D324" s="38"/>
      <c r="E324" s="38"/>
      <c r="F324" s="38"/>
      <c r="G324" s="38"/>
      <c r="H324" s="70"/>
      <c r="I324" s="70"/>
      <c r="J324" s="71"/>
      <c r="K324" s="84">
        <f t="shared" si="12"/>
        <v>0</v>
      </c>
      <c r="L324" s="68"/>
      <c r="M324" s="54"/>
      <c r="N324" s="65"/>
    </row>
    <row r="325" spans="1:14" ht="12.75" customHeight="1">
      <c r="A325" s="58" t="s">
        <v>35</v>
      </c>
      <c r="B325" s="53"/>
      <c r="C325" s="61" t="s">
        <v>36</v>
      </c>
      <c r="D325" s="38"/>
      <c r="E325" s="38"/>
      <c r="F325" s="72"/>
      <c r="G325" s="38"/>
      <c r="H325" s="73"/>
      <c r="I325" s="73"/>
      <c r="J325" s="74"/>
      <c r="K325" s="84">
        <f t="shared" si="12"/>
        <v>0</v>
      </c>
      <c r="L325" s="68"/>
      <c r="M325" s="54"/>
      <c r="N325" s="65"/>
    </row>
    <row r="326" spans="1:14" ht="12.75" customHeight="1">
      <c r="A326" s="58" t="s">
        <v>37</v>
      </c>
      <c r="B326" s="53"/>
      <c r="C326" s="61" t="s">
        <v>38</v>
      </c>
      <c r="D326" s="38"/>
      <c r="E326" s="38"/>
      <c r="F326" s="72"/>
      <c r="G326" s="38"/>
      <c r="H326" s="73"/>
      <c r="I326" s="73"/>
      <c r="J326" s="74"/>
      <c r="K326" s="84">
        <f t="shared" si="12"/>
        <v>0</v>
      </c>
      <c r="L326" s="68"/>
      <c r="M326" s="54"/>
      <c r="N326" s="65"/>
    </row>
    <row r="327" spans="1:14" ht="12.75" customHeight="1">
      <c r="A327" s="58" t="s">
        <v>39</v>
      </c>
      <c r="B327" s="53"/>
      <c r="C327" s="61" t="s">
        <v>40</v>
      </c>
      <c r="D327" s="38"/>
      <c r="E327" s="38"/>
      <c r="F327" s="38"/>
      <c r="G327" s="38"/>
      <c r="H327" s="38"/>
      <c r="I327" s="38"/>
      <c r="J327" s="55"/>
      <c r="K327" s="84">
        <f t="shared" si="12"/>
        <v>0</v>
      </c>
      <c r="L327" s="68"/>
      <c r="M327" s="54"/>
      <c r="N327" s="65"/>
    </row>
    <row r="328" spans="1:14" ht="12.75" customHeight="1">
      <c r="A328" s="58" t="s">
        <v>26</v>
      </c>
      <c r="B328" s="53"/>
      <c r="C328" s="61" t="s">
        <v>41</v>
      </c>
      <c r="D328" s="38"/>
      <c r="E328" s="38"/>
      <c r="F328" s="38"/>
      <c r="G328" s="38"/>
      <c r="H328" s="38"/>
      <c r="I328" s="38"/>
      <c r="J328" s="55"/>
      <c r="K328" s="84">
        <f t="shared" si="12"/>
        <v>0</v>
      </c>
      <c r="L328" s="68"/>
      <c r="M328" s="54"/>
      <c r="N328" s="65"/>
    </row>
    <row r="329" spans="1:14" ht="12.75" customHeight="1">
      <c r="A329" s="58"/>
      <c r="B329" s="61" t="s">
        <v>42</v>
      </c>
      <c r="C329" s="61"/>
      <c r="D329" s="38"/>
      <c r="E329" s="38"/>
      <c r="F329" s="38"/>
      <c r="G329" s="38"/>
      <c r="H329" s="38"/>
      <c r="I329" s="38"/>
      <c r="J329" s="55"/>
      <c r="K329" s="84">
        <f>SUM(K24+K85+K146+K207+K268)</f>
        <v>0</v>
      </c>
      <c r="L329" s="68"/>
      <c r="M329" s="54"/>
      <c r="N329" s="65"/>
    </row>
    <row r="330" spans="1:14" ht="12.75" customHeight="1">
      <c r="A330" s="69" t="s">
        <v>43</v>
      </c>
      <c r="B330" s="38"/>
      <c r="C330" s="38"/>
      <c r="D330" s="38"/>
      <c r="E330" s="38"/>
      <c r="F330" s="38"/>
      <c r="G330" s="75" t="s">
        <v>44</v>
      </c>
      <c r="H330" s="76"/>
      <c r="I330" s="38"/>
      <c r="J330" s="55"/>
      <c r="K330" s="84">
        <f>SUM(K25+K86+K147+K208+K269)</f>
        <v>0</v>
      </c>
      <c r="L330" s="68"/>
      <c r="M330" s="54"/>
      <c r="N330" s="65"/>
    </row>
    <row r="331" spans="1:14" ht="12.75" customHeight="1">
      <c r="A331" s="69"/>
      <c r="B331" s="61" t="s">
        <v>45</v>
      </c>
      <c r="C331" s="38"/>
      <c r="D331" s="38"/>
      <c r="E331" s="38"/>
      <c r="F331" s="38"/>
      <c r="G331" s="38"/>
      <c r="H331" s="38"/>
      <c r="I331" s="38"/>
      <c r="J331" s="55"/>
      <c r="K331" s="84">
        <f>SUM(K26+K87+K148+K209+K270)</f>
        <v>0</v>
      </c>
      <c r="L331" s="68"/>
      <c r="M331" s="54"/>
      <c r="N331" s="65"/>
    </row>
    <row r="332" spans="1:14" ht="12.75" customHeight="1">
      <c r="A332" s="32" t="s">
        <v>46</v>
      </c>
      <c r="J332" s="46"/>
      <c r="K332" s="134"/>
      <c r="L332" s="141"/>
      <c r="M332" s="134"/>
      <c r="N332" s="135"/>
    </row>
    <row r="333" spans="1:14" ht="12.75" customHeight="1">
      <c r="A333" s="32"/>
      <c r="B333" s="77"/>
      <c r="C333" s="143"/>
      <c r="H333" s="78"/>
      <c r="I333" s="2"/>
      <c r="J333" s="46"/>
      <c r="K333" s="134"/>
      <c r="L333" s="141"/>
      <c r="M333" s="134"/>
      <c r="N333" s="135"/>
    </row>
    <row r="334" spans="1:14" ht="12.75" customHeight="1">
      <c r="A334" s="32"/>
      <c r="B334" s="79"/>
      <c r="J334" s="46"/>
      <c r="K334" s="134"/>
      <c r="L334" s="141"/>
      <c r="M334" s="134"/>
      <c r="N334" s="135"/>
    </row>
    <row r="335" spans="1:14" ht="12.75" customHeight="1">
      <c r="A335" s="32"/>
      <c r="J335" s="46"/>
      <c r="K335" s="139"/>
      <c r="L335" s="141"/>
      <c r="M335" s="134"/>
      <c r="N335" s="135"/>
    </row>
    <row r="336" spans="1:14" ht="12.75" customHeight="1">
      <c r="A336" s="69"/>
      <c r="B336" s="61" t="s">
        <v>47</v>
      </c>
      <c r="C336" s="38"/>
      <c r="D336" s="38"/>
      <c r="E336" s="38"/>
      <c r="F336" s="38"/>
      <c r="G336" s="38"/>
      <c r="H336" s="38"/>
      <c r="I336" s="38"/>
      <c r="J336" s="55"/>
      <c r="K336" s="84">
        <f>SUM(K31+K92+K153+K214+K275)</f>
        <v>0</v>
      </c>
      <c r="L336" s="116"/>
      <c r="M336" s="80"/>
      <c r="N336" s="81"/>
    </row>
    <row r="337" spans="1:17" ht="12.75" customHeight="1">
      <c r="A337" s="69" t="s">
        <v>48</v>
      </c>
      <c r="B337" s="38"/>
      <c r="C337" s="38"/>
      <c r="D337" s="38" t="s">
        <v>124</v>
      </c>
      <c r="E337" s="38"/>
      <c r="F337" s="38"/>
      <c r="G337" s="38"/>
      <c r="H337" s="38"/>
      <c r="I337" s="38"/>
      <c r="J337" s="55"/>
      <c r="K337" s="84">
        <f>SUM(K32+K93+K154+K215+K276)</f>
        <v>0</v>
      </c>
      <c r="L337" s="68"/>
      <c r="M337" s="54"/>
      <c r="N337" s="65"/>
    </row>
    <row r="338" spans="1:17" ht="12.75" customHeight="1">
      <c r="A338" s="69"/>
      <c r="B338" s="38"/>
      <c r="C338" s="38"/>
      <c r="D338" s="38" t="s">
        <v>49</v>
      </c>
      <c r="E338" s="38"/>
      <c r="F338" s="38"/>
      <c r="G338" s="38"/>
      <c r="H338" s="38"/>
      <c r="I338" s="38"/>
      <c r="J338" s="55"/>
      <c r="K338" s="84">
        <f>SUM(K33+K94+K155+K216+K277)</f>
        <v>0</v>
      </c>
      <c r="L338" s="68"/>
      <c r="M338" s="54"/>
      <c r="N338" s="65"/>
    </row>
    <row r="339" spans="1:17" ht="12.75" customHeight="1">
      <c r="A339" s="32" t="s">
        <v>50</v>
      </c>
      <c r="J339" s="46"/>
      <c r="K339" s="134"/>
      <c r="L339" s="134"/>
      <c r="M339" s="134"/>
      <c r="N339" s="135"/>
    </row>
    <row r="340" spans="1:17" ht="12.75" customHeight="1">
      <c r="A340" s="32"/>
      <c r="B340" s="8" t="s">
        <v>51</v>
      </c>
      <c r="D340" s="82"/>
      <c r="E340" s="117">
        <f>SUM('NSF 1030 10-99'!E35+'NSF 1030 10-99'!E96+'NSF 1030 10-99'!E157+'NSF 1030 10-99'!E218+'NSF 1030 10-99'!E279)</f>
        <v>0</v>
      </c>
      <c r="J340" s="46"/>
      <c r="K340" s="134"/>
      <c r="L340" s="134"/>
      <c r="M340" s="134"/>
      <c r="N340" s="135"/>
    </row>
    <row r="341" spans="1:17" ht="12.75" customHeight="1">
      <c r="A341" s="32"/>
      <c r="B341" s="8" t="s">
        <v>52</v>
      </c>
      <c r="E341" s="117">
        <f>SUM('NSF 1030 10-99'!E36+'NSF 1030 10-99'!E97+'NSF 1030 10-99'!E158+'NSF 1030 10-99'!E219+'NSF 1030 10-99'!E280)</f>
        <v>0</v>
      </c>
      <c r="J341" s="46"/>
      <c r="K341" s="134"/>
      <c r="L341" s="134"/>
      <c r="M341" s="134"/>
      <c r="N341" s="135"/>
    </row>
    <row r="342" spans="1:17" ht="12.75" customHeight="1">
      <c r="A342" s="32"/>
      <c r="B342" s="8" t="s">
        <v>53</v>
      </c>
      <c r="E342" s="117">
        <f>SUM('NSF 1030 10-99'!E37+'NSF 1030 10-99'!E98+'NSF 1030 10-99'!E159+'NSF 1030 10-99'!E220+'NSF 1030 10-99'!E281)</f>
        <v>0</v>
      </c>
      <c r="J342" s="46"/>
      <c r="K342" s="134"/>
      <c r="L342" s="134"/>
      <c r="M342" s="134"/>
      <c r="N342" s="135"/>
    </row>
    <row r="343" spans="1:17" ht="12.75" customHeight="1">
      <c r="A343" s="32"/>
      <c r="B343" s="8" t="s">
        <v>54</v>
      </c>
      <c r="E343" s="117">
        <f>SUM('NSF 1030 10-99'!E38+'NSF 1030 10-99'!E99+'NSF 1030 10-99'!E160+'NSF 1030 10-99'!E221+'NSF 1030 10-99'!E282)</f>
        <v>0</v>
      </c>
      <c r="J343" s="46"/>
      <c r="K343" s="134"/>
      <c r="L343" s="134"/>
      <c r="M343" s="134"/>
      <c r="N343" s="135"/>
    </row>
    <row r="344" spans="1:17" ht="12.75" customHeight="1">
      <c r="A344" s="69"/>
      <c r="B344" s="38"/>
      <c r="C344" s="38"/>
      <c r="D344" s="38"/>
      <c r="E344" s="38"/>
      <c r="F344" s="38"/>
      <c r="G344" s="38"/>
      <c r="H344" s="38"/>
      <c r="I344" s="38"/>
      <c r="J344" s="55"/>
      <c r="K344" s="139"/>
      <c r="L344" s="139"/>
      <c r="M344" s="139"/>
      <c r="N344" s="140"/>
    </row>
    <row r="345" spans="1:17" ht="12.75" customHeight="1">
      <c r="A345" s="58" t="s">
        <v>100</v>
      </c>
      <c r="B345" s="61"/>
      <c r="C345" s="61"/>
      <c r="D345" s="38"/>
      <c r="E345" s="38"/>
      <c r="F345" s="144"/>
      <c r="G345" s="38"/>
      <c r="H345" s="38"/>
      <c r="I345" s="38"/>
      <c r="J345" s="145" t="s">
        <v>99</v>
      </c>
      <c r="K345" s="84">
        <f>SUM(K40+K101+K162+K223+K284)</f>
        <v>0</v>
      </c>
      <c r="L345" s="118"/>
      <c r="M345" s="54"/>
      <c r="N345" s="65"/>
    </row>
    <row r="346" spans="1:17" ht="12.75" customHeight="1">
      <c r="A346" s="69" t="s">
        <v>55</v>
      </c>
      <c r="B346" s="38"/>
      <c r="C346" s="38"/>
      <c r="D346" s="38"/>
      <c r="E346" s="38"/>
      <c r="F346" s="38"/>
      <c r="G346" s="38"/>
      <c r="H346" s="38"/>
      <c r="I346" s="38"/>
      <c r="J346" s="55"/>
      <c r="K346" s="139"/>
      <c r="L346" s="139"/>
      <c r="M346" s="139"/>
      <c r="N346" s="140"/>
    </row>
    <row r="347" spans="1:17" ht="12.75" customHeight="1">
      <c r="A347" s="69"/>
      <c r="B347" s="38" t="s">
        <v>56</v>
      </c>
      <c r="C347" s="38"/>
      <c r="D347" s="38"/>
      <c r="E347" s="38"/>
      <c r="F347" s="38"/>
      <c r="G347" s="38"/>
      <c r="H347" s="38"/>
      <c r="I347" s="38"/>
      <c r="J347" s="55"/>
      <c r="K347" s="84">
        <f t="shared" ref="K347:K354" si="13">SUM(K42+K103+K164+K225+K286)</f>
        <v>0</v>
      </c>
      <c r="L347" s="118"/>
      <c r="M347" s="54"/>
      <c r="N347" s="65"/>
    </row>
    <row r="348" spans="1:17" ht="12.75" customHeight="1">
      <c r="A348" s="69"/>
      <c r="B348" s="38" t="s">
        <v>57</v>
      </c>
      <c r="C348" s="38"/>
      <c r="D348" s="38"/>
      <c r="E348" s="38"/>
      <c r="F348" s="38"/>
      <c r="G348" s="38"/>
      <c r="H348" s="38"/>
      <c r="I348" s="38"/>
      <c r="J348" s="55"/>
      <c r="K348" s="84">
        <f t="shared" si="13"/>
        <v>0</v>
      </c>
      <c r="L348" s="118"/>
      <c r="M348" s="54"/>
      <c r="N348" s="65"/>
    </row>
    <row r="349" spans="1:17" ht="12.75" customHeight="1">
      <c r="A349" s="69"/>
      <c r="B349" s="38" t="s">
        <v>58</v>
      </c>
      <c r="C349" s="38"/>
      <c r="D349" s="38"/>
      <c r="E349" s="38"/>
      <c r="F349" s="38"/>
      <c r="G349" s="38"/>
      <c r="H349" s="38"/>
      <c r="I349" s="38"/>
      <c r="J349" s="55"/>
      <c r="K349" s="84">
        <f t="shared" si="13"/>
        <v>0</v>
      </c>
      <c r="L349" s="118"/>
      <c r="M349" s="54"/>
      <c r="N349" s="65"/>
    </row>
    <row r="350" spans="1:17" ht="12.75" customHeight="1">
      <c r="A350" s="69"/>
      <c r="B350" s="38" t="s">
        <v>59</v>
      </c>
      <c r="C350" s="38"/>
      <c r="D350" s="38"/>
      <c r="E350" s="38"/>
      <c r="F350" s="38"/>
      <c r="G350" s="38"/>
      <c r="H350" s="38"/>
      <c r="I350" s="38"/>
      <c r="J350" s="55"/>
      <c r="K350" s="84">
        <f t="shared" si="13"/>
        <v>0</v>
      </c>
      <c r="L350" s="118"/>
      <c r="M350" s="54"/>
      <c r="N350" s="65"/>
      <c r="P350" s="86" t="s">
        <v>137</v>
      </c>
    </row>
    <row r="351" spans="1:17" ht="12.75" customHeight="1">
      <c r="A351" s="69"/>
      <c r="B351" s="38" t="s">
        <v>60</v>
      </c>
      <c r="C351" s="38"/>
      <c r="D351" s="38"/>
      <c r="E351" s="38"/>
      <c r="F351" s="38"/>
      <c r="G351" s="38"/>
      <c r="H351" s="38"/>
      <c r="I351" s="38"/>
      <c r="J351" s="55"/>
      <c r="K351" s="84">
        <f t="shared" si="13"/>
        <v>0</v>
      </c>
      <c r="L351" s="118"/>
      <c r="M351" s="54"/>
      <c r="N351" s="65"/>
      <c r="P351" s="86" t="s">
        <v>66</v>
      </c>
      <c r="Q351" s="87" t="s">
        <v>136</v>
      </c>
    </row>
    <row r="352" spans="1:17" ht="12.75" customHeight="1">
      <c r="A352" s="69"/>
      <c r="B352" s="38" t="s">
        <v>62</v>
      </c>
      <c r="C352" s="38"/>
      <c r="D352" s="38"/>
      <c r="E352" s="38"/>
      <c r="F352" s="72"/>
      <c r="G352" s="38"/>
      <c r="H352" s="38"/>
      <c r="I352" s="38"/>
      <c r="J352" s="55"/>
      <c r="K352" s="84">
        <f t="shared" si="13"/>
        <v>0</v>
      </c>
      <c r="L352" s="118"/>
      <c r="M352" s="54"/>
      <c r="N352" s="65"/>
      <c r="P352" s="88" t="s">
        <v>70</v>
      </c>
      <c r="Q352" s="89">
        <f>SUM(Q46,Q107,Q168,Q229,Q290)</f>
        <v>0</v>
      </c>
    </row>
    <row r="353" spans="1:17" ht="12.75" customHeight="1">
      <c r="A353" s="69"/>
      <c r="B353" s="38"/>
      <c r="C353" s="38" t="s">
        <v>65</v>
      </c>
      <c r="D353" s="38"/>
      <c r="E353" s="38"/>
      <c r="F353" s="38"/>
      <c r="G353" s="38"/>
      <c r="H353" s="38"/>
      <c r="I353" s="38"/>
      <c r="J353" s="55"/>
      <c r="K353" s="84">
        <f t="shared" si="13"/>
        <v>0</v>
      </c>
      <c r="L353" s="118"/>
      <c r="M353" s="54"/>
      <c r="N353" s="65"/>
      <c r="P353" s="92" t="s">
        <v>72</v>
      </c>
      <c r="Q353" s="89">
        <f t="shared" ref="Q353:Q355" si="14">SUM(Q47,Q108,Q169,Q230,Q291)</f>
        <v>0</v>
      </c>
    </row>
    <row r="354" spans="1:17" ht="12.75" customHeight="1">
      <c r="A354" s="69" t="s">
        <v>69</v>
      </c>
      <c r="B354" s="38"/>
      <c r="C354" s="38"/>
      <c r="D354" s="38"/>
      <c r="E354" s="38"/>
      <c r="F354" s="38"/>
      <c r="G354" s="38"/>
      <c r="H354" s="38"/>
      <c r="I354" s="38"/>
      <c r="J354" s="55"/>
      <c r="K354" s="84">
        <f t="shared" si="13"/>
        <v>0</v>
      </c>
      <c r="L354" s="118"/>
      <c r="M354" s="54"/>
      <c r="N354" s="65"/>
      <c r="P354" s="92" t="s">
        <v>74</v>
      </c>
      <c r="Q354" s="89">
        <f t="shared" si="14"/>
        <v>0</v>
      </c>
    </row>
    <row r="355" spans="1:17" ht="12.75" customHeight="1">
      <c r="A355" s="32" t="s">
        <v>71</v>
      </c>
      <c r="J355" s="46"/>
      <c r="K355" s="132"/>
      <c r="L355" s="132"/>
      <c r="M355" s="134"/>
      <c r="N355" s="135"/>
      <c r="P355" s="98" t="s">
        <v>77</v>
      </c>
      <c r="Q355" s="89">
        <f t="shared" si="14"/>
        <v>0</v>
      </c>
    </row>
    <row r="356" spans="1:17" ht="12.75" customHeight="1">
      <c r="A356" s="94" t="s">
        <v>73</v>
      </c>
      <c r="B356" s="2"/>
      <c r="C356" s="2"/>
      <c r="D356" s="2"/>
      <c r="E356" s="5"/>
      <c r="F356" s="5"/>
      <c r="G356" s="187">
        <f>SUM(G51+G112+G173+G234+G295)</f>
        <v>0</v>
      </c>
      <c r="H356" s="187"/>
      <c r="J356" s="46"/>
      <c r="K356" s="137"/>
      <c r="L356" s="132"/>
      <c r="M356" s="134"/>
      <c r="N356" s="135"/>
    </row>
    <row r="357" spans="1:17" ht="12.75" customHeight="1">
      <c r="A357" s="69" t="s">
        <v>75</v>
      </c>
      <c r="B357" s="38"/>
      <c r="C357" s="38"/>
      <c r="D357" s="38"/>
      <c r="E357" s="38"/>
      <c r="F357" s="38"/>
      <c r="G357" s="75" t="s">
        <v>76</v>
      </c>
      <c r="H357" s="95">
        <f>H52</f>
        <v>0.5</v>
      </c>
      <c r="I357" s="38"/>
      <c r="J357" s="55"/>
      <c r="K357" s="84">
        <f>SUM(K52+K113+K174+K235+K296)</f>
        <v>0</v>
      </c>
      <c r="L357" s="119"/>
      <c r="M357" s="96"/>
      <c r="N357" s="97"/>
    </row>
    <row r="358" spans="1:17" ht="12.75" customHeight="1">
      <c r="A358" s="69" t="s">
        <v>78</v>
      </c>
      <c r="B358" s="38"/>
      <c r="C358" s="38"/>
      <c r="D358" s="38"/>
      <c r="E358" s="38"/>
      <c r="F358" s="38"/>
      <c r="G358" s="38"/>
      <c r="H358" s="38"/>
      <c r="I358" s="38"/>
      <c r="J358" s="55"/>
      <c r="K358" s="84">
        <f>SUM(K53+K114+K175+K236+K297)</f>
        <v>0</v>
      </c>
      <c r="L358" s="118"/>
      <c r="M358" s="54"/>
      <c r="N358" s="65"/>
    </row>
    <row r="359" spans="1:17" ht="12.75" customHeight="1">
      <c r="A359" s="69" t="s">
        <v>79</v>
      </c>
      <c r="B359" s="38"/>
      <c r="C359" s="38"/>
      <c r="D359" s="38"/>
      <c r="E359" s="38"/>
      <c r="F359" s="38"/>
      <c r="G359" s="38"/>
      <c r="H359" s="38"/>
      <c r="I359" s="38"/>
      <c r="J359" s="55"/>
      <c r="K359" s="84">
        <f>SUM(K54+K115+K176+K237+K298)</f>
        <v>0</v>
      </c>
      <c r="L359" s="118"/>
      <c r="M359" s="54"/>
      <c r="N359" s="65"/>
    </row>
    <row r="360" spans="1:17" ht="12.75" customHeight="1" thickBot="1">
      <c r="A360" s="101" t="s">
        <v>80</v>
      </c>
      <c r="B360" s="40"/>
      <c r="C360" s="40"/>
      <c r="D360" s="40"/>
      <c r="E360" s="40"/>
      <c r="F360" s="40"/>
      <c r="G360" s="40"/>
      <c r="H360" s="40"/>
      <c r="I360" s="40"/>
      <c r="J360" s="41"/>
      <c r="K360" s="120">
        <f>SUM(K55+K116+K177+K238+K299)</f>
        <v>0</v>
      </c>
      <c r="L360" s="121"/>
      <c r="M360" s="104"/>
      <c r="N360" s="105"/>
    </row>
    <row r="361" spans="1:17" ht="12.75" customHeight="1" thickBot="1">
      <c r="A361" s="101" t="s">
        <v>81</v>
      </c>
      <c r="B361" s="40"/>
      <c r="C361" s="40"/>
      <c r="D361" s="40"/>
      <c r="E361" s="40"/>
      <c r="F361" s="122">
        <f>SUM(F56+F117+F178+F239+F300)</f>
        <v>0</v>
      </c>
      <c r="G361" s="106" t="s">
        <v>82</v>
      </c>
      <c r="H361" s="40"/>
      <c r="I361" s="40"/>
      <c r="J361" s="42"/>
      <c r="K361" s="102"/>
      <c r="L361" s="102"/>
      <c r="M361" s="42"/>
      <c r="N361" s="107"/>
    </row>
    <row r="362" spans="1:17" ht="12.75" customHeight="1">
      <c r="A362" s="32" t="s">
        <v>121</v>
      </c>
      <c r="F362" s="46"/>
      <c r="G362" s="36" t="s">
        <v>83</v>
      </c>
      <c r="H362" s="108" t="s">
        <v>1</v>
      </c>
      <c r="I362" s="26"/>
      <c r="J362" s="26"/>
      <c r="K362" s="26"/>
      <c r="L362" s="26"/>
      <c r="M362" s="26"/>
      <c r="N362" s="57"/>
    </row>
    <row r="363" spans="1:17" ht="12.75" customHeight="1">
      <c r="A363" s="69" t="str">
        <f>A6</f>
        <v>(Type PI name in Year 1 cell A6 and sheet will auto-fill where needed)</v>
      </c>
      <c r="B363" s="38"/>
      <c r="C363" s="38"/>
      <c r="D363" s="38"/>
      <c r="E363" s="38"/>
      <c r="F363" s="61"/>
      <c r="G363" s="109"/>
      <c r="H363" s="26" t="s">
        <v>84</v>
      </c>
      <c r="I363" s="26"/>
      <c r="J363" s="26"/>
      <c r="K363" s="26"/>
      <c r="L363" s="26"/>
      <c r="M363" s="26"/>
      <c r="N363" s="57"/>
    </row>
    <row r="364" spans="1:17" ht="12.75" customHeight="1">
      <c r="A364" s="32" t="s">
        <v>120</v>
      </c>
      <c r="F364" s="46"/>
      <c r="G364" s="36" t="s">
        <v>83</v>
      </c>
      <c r="H364" s="2" t="s">
        <v>85</v>
      </c>
      <c r="I364" s="35"/>
      <c r="J364" s="2" t="s">
        <v>86</v>
      </c>
      <c r="K364" s="2"/>
      <c r="L364" s="35"/>
      <c r="M364" s="2" t="s">
        <v>87</v>
      </c>
      <c r="N364" s="50"/>
    </row>
    <row r="365" spans="1:17" ht="12.75" customHeight="1" thickBot="1">
      <c r="A365" s="101" t="str">
        <f>A60</f>
        <v>Darya Courville, Executive Director, Sponsored Programs</v>
      </c>
      <c r="B365" s="40"/>
      <c r="C365" s="40"/>
      <c r="D365" s="40"/>
      <c r="E365" s="40"/>
      <c r="F365" s="41"/>
      <c r="G365" s="44"/>
      <c r="H365" s="40"/>
      <c r="I365" s="41"/>
      <c r="J365" s="40"/>
      <c r="K365" s="40"/>
      <c r="L365" s="41"/>
      <c r="M365" s="40"/>
      <c r="N365" s="44"/>
    </row>
    <row r="366" spans="1:17" ht="12.75" customHeight="1">
      <c r="A366" s="110" t="s">
        <v>116</v>
      </c>
      <c r="B366" s="110"/>
      <c r="C366" s="110"/>
      <c r="D366" s="110"/>
      <c r="E366" s="111"/>
      <c r="F366" s="110"/>
      <c r="G366"/>
      <c r="N366" s="112"/>
    </row>
  </sheetData>
  <mergeCells count="174">
    <mergeCell ref="K291:L291"/>
    <mergeCell ref="K292:L292"/>
    <mergeCell ref="K293:L293"/>
    <mergeCell ref="K296:L296"/>
    <mergeCell ref="K258:L258"/>
    <mergeCell ref="K235:L235"/>
    <mergeCell ref="K256:L256"/>
    <mergeCell ref="K277:L277"/>
    <mergeCell ref="K286:L286"/>
    <mergeCell ref="K287:L287"/>
    <mergeCell ref="K288:L288"/>
    <mergeCell ref="K289:L289"/>
    <mergeCell ref="K290:L290"/>
    <mergeCell ref="K284:L284"/>
    <mergeCell ref="K266:L266"/>
    <mergeCell ref="K267:L267"/>
    <mergeCell ref="K275:L275"/>
    <mergeCell ref="K276:L276"/>
    <mergeCell ref="K268:L268"/>
    <mergeCell ref="K269:L269"/>
    <mergeCell ref="K270:L270"/>
    <mergeCell ref="K259:L259"/>
    <mergeCell ref="K262:L262"/>
    <mergeCell ref="K263:L263"/>
    <mergeCell ref="K260:L260"/>
    <mergeCell ref="K264:L264"/>
    <mergeCell ref="K265:L265"/>
    <mergeCell ref="K107:L107"/>
    <mergeCell ref="K136:L136"/>
    <mergeCell ref="K137:L137"/>
    <mergeCell ref="K140:L140"/>
    <mergeCell ref="K141:L141"/>
    <mergeCell ref="K142:L142"/>
    <mergeCell ref="K143:L143"/>
    <mergeCell ref="K144:L144"/>
    <mergeCell ref="K145:L145"/>
    <mergeCell ref="K153:L153"/>
    <mergeCell ref="K168:L168"/>
    <mergeCell ref="K228:L228"/>
    <mergeCell ref="K229:L229"/>
    <mergeCell ref="K230:L230"/>
    <mergeCell ref="K254:L254"/>
    <mergeCell ref="K255:L255"/>
    <mergeCell ref="K108:L108"/>
    <mergeCell ref="K231:L231"/>
    <mergeCell ref="K115:L115"/>
    <mergeCell ref="K132:L132"/>
    <mergeCell ref="K133:L133"/>
    <mergeCell ref="K134:L134"/>
    <mergeCell ref="K135:L135"/>
    <mergeCell ref="K109:L109"/>
    <mergeCell ref="K110:L110"/>
    <mergeCell ref="K113:L113"/>
    <mergeCell ref="K114:L114"/>
    <mergeCell ref="K116:L116"/>
    <mergeCell ref="K93:L93"/>
    <mergeCell ref="K85:L85"/>
    <mergeCell ref="K86:L86"/>
    <mergeCell ref="K87:L87"/>
    <mergeCell ref="K94:L94"/>
    <mergeCell ref="K103:L103"/>
    <mergeCell ref="K104:L104"/>
    <mergeCell ref="K105:L105"/>
    <mergeCell ref="K106:L106"/>
    <mergeCell ref="K101:L101"/>
    <mergeCell ref="K75:L75"/>
    <mergeCell ref="K76:L76"/>
    <mergeCell ref="K79:L79"/>
    <mergeCell ref="K80:L80"/>
    <mergeCell ref="K77:L77"/>
    <mergeCell ref="K81:L81"/>
    <mergeCell ref="K82:L82"/>
    <mergeCell ref="K83:L83"/>
    <mergeCell ref="K92:L92"/>
    <mergeCell ref="K84:L84"/>
    <mergeCell ref="K54:L54"/>
    <mergeCell ref="K71:L71"/>
    <mergeCell ref="K72:L72"/>
    <mergeCell ref="K49:L49"/>
    <mergeCell ref="K52:L52"/>
    <mergeCell ref="K53:L53"/>
    <mergeCell ref="K55:L55"/>
    <mergeCell ref="K73:L73"/>
    <mergeCell ref="K74:L74"/>
    <mergeCell ref="K14:L14"/>
    <mergeCell ref="K15:L15"/>
    <mergeCell ref="K10:L10"/>
    <mergeCell ref="K11:L11"/>
    <mergeCell ref="K12:L12"/>
    <mergeCell ref="K13:L13"/>
    <mergeCell ref="K21:L21"/>
    <mergeCell ref="K22:L22"/>
    <mergeCell ref="K23:L23"/>
    <mergeCell ref="K31:L31"/>
    <mergeCell ref="K32:L32"/>
    <mergeCell ref="K33:L33"/>
    <mergeCell ref="K42:L42"/>
    <mergeCell ref="K43:L43"/>
    <mergeCell ref="K44:L44"/>
    <mergeCell ref="K45:L45"/>
    <mergeCell ref="K46:L46"/>
    <mergeCell ref="K47:L47"/>
    <mergeCell ref="G356:H356"/>
    <mergeCell ref="G295:H295"/>
    <mergeCell ref="G234:H234"/>
    <mergeCell ref="G173:H173"/>
    <mergeCell ref="K138:L138"/>
    <mergeCell ref="K146:L146"/>
    <mergeCell ref="K147:L147"/>
    <mergeCell ref="K148:L148"/>
    <mergeCell ref="K162:L162"/>
    <mergeCell ref="K154:L154"/>
    <mergeCell ref="K155:L155"/>
    <mergeCell ref="K169:L169"/>
    <mergeCell ref="K176:L176"/>
    <mergeCell ref="K170:L170"/>
    <mergeCell ref="K171:L171"/>
    <mergeCell ref="K174:L174"/>
    <mergeCell ref="K175:L175"/>
    <mergeCell ref="K225:L225"/>
    <mergeCell ref="K226:L226"/>
    <mergeCell ref="K227:L227"/>
    <mergeCell ref="K214:L214"/>
    <mergeCell ref="K215:L215"/>
    <mergeCell ref="K216:L216"/>
    <mergeCell ref="K257:L257"/>
    <mergeCell ref="G112:H112"/>
    <mergeCell ref="G51:H51"/>
    <mergeCell ref="K177:L177"/>
    <mergeCell ref="K199:L199"/>
    <mergeCell ref="K207:L207"/>
    <mergeCell ref="K208:L208"/>
    <mergeCell ref="K209:L209"/>
    <mergeCell ref="K223:L223"/>
    <mergeCell ref="K193:L193"/>
    <mergeCell ref="K194:L194"/>
    <mergeCell ref="K195:L195"/>
    <mergeCell ref="K196:L196"/>
    <mergeCell ref="K197:L197"/>
    <mergeCell ref="K198:L198"/>
    <mergeCell ref="K201:L201"/>
    <mergeCell ref="K202:L202"/>
    <mergeCell ref="K203:L203"/>
    <mergeCell ref="K204:L204"/>
    <mergeCell ref="K205:L205"/>
    <mergeCell ref="K206:L206"/>
    <mergeCell ref="K164:L164"/>
    <mergeCell ref="K165:L165"/>
    <mergeCell ref="K166:L166"/>
    <mergeCell ref="K167:L167"/>
    <mergeCell ref="K190:L190"/>
    <mergeCell ref="K191:L191"/>
    <mergeCell ref="K192:L192"/>
    <mergeCell ref="K251:L251"/>
    <mergeCell ref="K252:L252"/>
    <mergeCell ref="K253:L253"/>
    <mergeCell ref="K7:L7"/>
    <mergeCell ref="K8:L8"/>
    <mergeCell ref="K9:L9"/>
    <mergeCell ref="K68:L68"/>
    <mergeCell ref="K69:L69"/>
    <mergeCell ref="K70:L70"/>
    <mergeCell ref="K129:L129"/>
    <mergeCell ref="K130:L130"/>
    <mergeCell ref="K131:L131"/>
    <mergeCell ref="K48:L48"/>
    <mergeCell ref="K26:L26"/>
    <mergeCell ref="K16:L16"/>
    <mergeCell ref="K24:L24"/>
    <mergeCell ref="K25:L25"/>
    <mergeCell ref="K40:L40"/>
    <mergeCell ref="K18:L18"/>
    <mergeCell ref="K19:L19"/>
    <mergeCell ref="K20:L20"/>
  </mergeCells>
  <phoneticPr fontId="11" type="noConversion"/>
  <dataValidations disablePrompts="1" count="3">
    <dataValidation showInputMessage="1" showErrorMessage="1" sqref="P72 P133 P194 P255 P15" xr:uid="{00000000-0002-0000-0000-000000000000}"/>
    <dataValidation type="list" allowBlank="1" showInputMessage="1" showErrorMessage="1" sqref="P17" xr:uid="{00000000-0002-0000-0000-000001000000}">
      <formula1>ProjectType</formula1>
    </dataValidation>
    <dataValidation type="list" allowBlank="1" showInputMessage="1" showErrorMessage="1" sqref="S23" xr:uid="{00000000-0002-0000-0000-000002000000}">
      <formula1>Answers</formula1>
    </dataValidation>
  </dataValidations>
  <printOptions horizontalCentered="1" verticalCentered="1"/>
  <pageMargins left="0.25" right="0.3" top="0.5" bottom="0.5" header="0.3" footer="0.5"/>
  <pageSetup scale="87" orientation="portrait" useFirstPageNumber="1" horizontalDpi="120" verticalDpi="72" r:id="rId1"/>
  <headerFooter alignWithMargins="0"/>
  <rowBreaks count="5" manualBreakCount="5">
    <brk id="61" max="13" man="1"/>
    <brk id="122" max="13" man="1"/>
    <brk id="183" max="13" man="1"/>
    <brk id="244" max="13" man="1"/>
    <brk id="305" max="13" man="1"/>
  </rowBreaks>
  <ignoredErrors>
    <ignoredError sqref="K40 K46:K47 K101 K162 K223 K284"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4"/>
  <sheetViews>
    <sheetView workbookViewId="0">
      <selection activeCell="F3" sqref="F3"/>
    </sheetView>
  </sheetViews>
  <sheetFormatPr defaultRowHeight="13.2"/>
  <cols>
    <col min="1" max="1" width="15" customWidth="1"/>
    <col min="2" max="2" width="9.44140625" bestFit="1" customWidth="1"/>
    <col min="3" max="3" width="9.44140625" customWidth="1"/>
    <col min="4" max="4" width="10.109375" customWidth="1"/>
    <col min="5" max="5" width="10.88671875" customWidth="1"/>
  </cols>
  <sheetData>
    <row r="1" spans="1:6">
      <c r="B1" s="156"/>
      <c r="C1" s="156"/>
      <c r="D1" s="156"/>
      <c r="E1" s="156"/>
    </row>
    <row r="2" spans="1:6">
      <c r="A2" s="159">
        <v>43466</v>
      </c>
      <c r="B2" s="157"/>
      <c r="C2" s="157"/>
      <c r="D2" s="157"/>
      <c r="E2" s="157"/>
      <c r="F2" t="s">
        <v>134</v>
      </c>
    </row>
    <row r="3" spans="1:6">
      <c r="A3" s="159">
        <v>43497</v>
      </c>
      <c r="B3" s="157"/>
      <c r="C3" s="157"/>
      <c r="D3" s="157"/>
      <c r="E3" s="157"/>
      <c r="F3" t="s">
        <v>130</v>
      </c>
    </row>
    <row r="4" spans="1:6">
      <c r="A4" s="159">
        <v>43525</v>
      </c>
      <c r="B4" s="157"/>
      <c r="C4" s="157"/>
      <c r="D4" s="157"/>
      <c r="E4" s="157"/>
      <c r="F4" t="s">
        <v>131</v>
      </c>
    </row>
    <row r="5" spans="1:6">
      <c r="A5" s="159">
        <v>43556</v>
      </c>
      <c r="B5" s="157"/>
      <c r="C5" s="157"/>
      <c r="D5" s="157"/>
      <c r="E5" s="157"/>
      <c r="F5" t="s">
        <v>132</v>
      </c>
    </row>
    <row r="6" spans="1:6">
      <c r="A6" s="159">
        <v>43586</v>
      </c>
      <c r="B6" s="157"/>
      <c r="C6" s="157"/>
      <c r="D6" s="157"/>
      <c r="E6" s="157"/>
      <c r="F6" t="s">
        <v>133</v>
      </c>
    </row>
    <row r="7" spans="1:6">
      <c r="A7" s="159">
        <v>43617</v>
      </c>
      <c r="B7" s="157"/>
      <c r="C7" s="157"/>
      <c r="D7" s="157"/>
      <c r="E7" s="157"/>
    </row>
    <row r="8" spans="1:6">
      <c r="A8" s="159">
        <v>43647</v>
      </c>
      <c r="B8" s="157"/>
      <c r="C8" s="157"/>
      <c r="D8" s="157"/>
      <c r="E8" s="157"/>
    </row>
    <row r="9" spans="1:6">
      <c r="A9" s="159">
        <v>43678</v>
      </c>
      <c r="B9" s="157"/>
      <c r="C9" s="157"/>
      <c r="D9" s="157"/>
      <c r="E9" s="157"/>
      <c r="F9" t="s">
        <v>118</v>
      </c>
    </row>
    <row r="10" spans="1:6">
      <c r="A10" s="159">
        <v>43709</v>
      </c>
      <c r="B10" s="157"/>
      <c r="C10" s="157"/>
      <c r="D10" s="157"/>
      <c r="E10" s="157"/>
      <c r="F10" t="s">
        <v>119</v>
      </c>
    </row>
    <row r="11" spans="1:6">
      <c r="A11" s="159">
        <v>43739</v>
      </c>
      <c r="B11" s="157"/>
      <c r="C11" s="157"/>
      <c r="D11" s="157"/>
      <c r="E11" s="157"/>
    </row>
    <row r="12" spans="1:6">
      <c r="A12" s="159">
        <v>43770</v>
      </c>
      <c r="B12" s="157"/>
      <c r="C12" s="157"/>
      <c r="D12" s="157"/>
      <c r="E12" s="157"/>
    </row>
    <row r="13" spans="1:6">
      <c r="A13" s="159">
        <v>43800</v>
      </c>
      <c r="B13" s="157"/>
      <c r="C13" s="157"/>
      <c r="D13" s="157"/>
      <c r="E13" s="157"/>
    </row>
    <row r="14" spans="1:6">
      <c r="A14" s="159">
        <v>43831</v>
      </c>
      <c r="B14" s="157"/>
      <c r="C14" s="157"/>
      <c r="D14" s="157"/>
      <c r="E14" s="157"/>
    </row>
    <row r="15" spans="1:6">
      <c r="A15" s="159">
        <v>43862</v>
      </c>
      <c r="B15" s="157"/>
      <c r="C15" s="157"/>
      <c r="D15" s="157"/>
      <c r="E15" s="157"/>
    </row>
    <row r="16" spans="1:6">
      <c r="A16" s="159">
        <v>43891</v>
      </c>
      <c r="B16" s="157"/>
      <c r="C16" s="157"/>
      <c r="D16" s="157"/>
      <c r="E16" s="157"/>
    </row>
    <row r="17" spans="1:5">
      <c r="A17" s="159">
        <v>43922</v>
      </c>
      <c r="B17" s="157"/>
      <c r="C17" s="157"/>
      <c r="D17" s="157"/>
      <c r="E17" s="157"/>
    </row>
    <row r="18" spans="1:5">
      <c r="A18" s="159">
        <v>43952</v>
      </c>
      <c r="B18" s="157"/>
      <c r="C18" s="157"/>
      <c r="D18" s="157"/>
      <c r="E18" s="157"/>
    </row>
    <row r="19" spans="1:5">
      <c r="A19" s="159">
        <v>43983</v>
      </c>
      <c r="B19" s="157"/>
      <c r="C19" s="157"/>
      <c r="D19" s="157"/>
      <c r="E19" s="157"/>
    </row>
    <row r="20" spans="1:5">
      <c r="A20" s="159">
        <v>44013</v>
      </c>
      <c r="B20" s="157"/>
      <c r="C20" s="157"/>
      <c r="D20" s="157"/>
      <c r="E20" s="157"/>
    </row>
    <row r="21" spans="1:5">
      <c r="A21" s="159">
        <v>44044</v>
      </c>
      <c r="B21" s="157"/>
      <c r="C21" s="157"/>
      <c r="D21" s="157"/>
      <c r="E21" s="157"/>
    </row>
    <row r="22" spans="1:5">
      <c r="A22" s="159">
        <v>44075</v>
      </c>
      <c r="B22" s="157"/>
      <c r="C22" s="157"/>
      <c r="D22" s="157"/>
      <c r="E22" s="157"/>
    </row>
    <row r="23" spans="1:5">
      <c r="A23" s="159">
        <v>44105</v>
      </c>
      <c r="B23" s="157"/>
      <c r="C23" s="157"/>
      <c r="D23" s="157"/>
      <c r="E23" s="157"/>
    </row>
    <row r="24" spans="1:5">
      <c r="A24" s="159">
        <v>44136</v>
      </c>
      <c r="B24" s="157"/>
      <c r="C24" s="157"/>
      <c r="D24" s="157"/>
      <c r="E24" s="157"/>
    </row>
    <row r="25" spans="1:5">
      <c r="A25" s="159">
        <v>44166</v>
      </c>
      <c r="B25" s="157"/>
      <c r="C25" s="157"/>
      <c r="D25" s="157"/>
      <c r="E25" s="157"/>
    </row>
    <row r="26" spans="1:5">
      <c r="A26" s="159">
        <v>44197</v>
      </c>
      <c r="B26" s="157"/>
      <c r="C26" s="157"/>
      <c r="D26" s="157"/>
      <c r="E26" s="157"/>
    </row>
    <row r="27" spans="1:5">
      <c r="A27" s="159">
        <v>44228</v>
      </c>
      <c r="B27" s="157"/>
      <c r="C27" s="157"/>
      <c r="D27" s="157"/>
      <c r="E27" s="157"/>
    </row>
    <row r="28" spans="1:5">
      <c r="A28" s="159">
        <v>44256</v>
      </c>
      <c r="B28" s="157"/>
      <c r="C28" s="157"/>
      <c r="D28" s="157"/>
      <c r="E28" s="157"/>
    </row>
    <row r="29" spans="1:5">
      <c r="A29" s="159">
        <v>44287</v>
      </c>
      <c r="B29" s="157"/>
      <c r="C29" s="157"/>
      <c r="D29" s="157"/>
      <c r="E29" s="157"/>
    </row>
    <row r="30" spans="1:5">
      <c r="A30" s="159">
        <v>44317</v>
      </c>
      <c r="B30" s="157"/>
      <c r="C30" s="157"/>
      <c r="D30" s="157"/>
      <c r="E30" s="157"/>
    </row>
    <row r="31" spans="1:5">
      <c r="A31" s="159">
        <v>44348</v>
      </c>
      <c r="B31" s="157"/>
      <c r="C31" s="157"/>
      <c r="D31" s="157"/>
      <c r="E31" s="157"/>
    </row>
    <row r="32" spans="1:5">
      <c r="A32" s="159">
        <v>44378</v>
      </c>
      <c r="B32" s="157"/>
      <c r="C32" s="157"/>
      <c r="D32" s="157"/>
      <c r="E32" s="157"/>
    </row>
    <row r="33" spans="1:5">
      <c r="A33" s="159">
        <v>44409</v>
      </c>
      <c r="B33" s="157"/>
      <c r="C33" s="157"/>
      <c r="D33" s="157"/>
      <c r="E33" s="157"/>
    </row>
    <row r="34" spans="1:5">
      <c r="A34" s="159">
        <v>44440</v>
      </c>
      <c r="B34" s="157"/>
      <c r="C34" s="157"/>
      <c r="D34" s="157"/>
      <c r="E34" s="157"/>
    </row>
    <row r="35" spans="1:5">
      <c r="A35" s="159">
        <v>44470</v>
      </c>
      <c r="B35" s="157"/>
      <c r="C35" s="157"/>
      <c r="D35" s="157"/>
      <c r="E35" s="157"/>
    </row>
    <row r="36" spans="1:5">
      <c r="A36" s="159">
        <v>44501</v>
      </c>
      <c r="B36" s="157"/>
      <c r="C36" s="157"/>
      <c r="D36" s="157"/>
      <c r="E36" s="157"/>
    </row>
    <row r="37" spans="1:5">
      <c r="A37" s="159">
        <v>44531</v>
      </c>
      <c r="B37" s="157"/>
      <c r="C37" s="157"/>
      <c r="D37" s="157"/>
      <c r="E37" s="157"/>
    </row>
    <row r="38" spans="1:5">
      <c r="A38" s="159">
        <v>44562</v>
      </c>
      <c r="B38" s="157"/>
      <c r="C38" s="157"/>
      <c r="D38" s="157"/>
      <c r="E38" s="157"/>
    </row>
    <row r="39" spans="1:5">
      <c r="A39" s="159">
        <v>44593</v>
      </c>
      <c r="B39" s="157"/>
      <c r="C39" s="157"/>
      <c r="D39" s="157"/>
      <c r="E39" s="157"/>
    </row>
    <row r="40" spans="1:5">
      <c r="A40" s="159">
        <v>44621</v>
      </c>
      <c r="B40" s="157"/>
      <c r="C40" s="157"/>
      <c r="D40" s="157"/>
      <c r="E40" s="157"/>
    </row>
    <row r="41" spans="1:5">
      <c r="A41" s="159">
        <v>44652</v>
      </c>
      <c r="B41" s="157"/>
      <c r="C41" s="157"/>
      <c r="D41" s="157"/>
      <c r="E41" s="157"/>
    </row>
    <row r="42" spans="1:5">
      <c r="A42" s="159">
        <v>44682</v>
      </c>
      <c r="B42" s="157"/>
      <c r="C42" s="157"/>
      <c r="D42" s="157"/>
      <c r="E42" s="157"/>
    </row>
    <row r="43" spans="1:5">
      <c r="A43" s="159">
        <v>44713</v>
      </c>
      <c r="B43" s="157"/>
      <c r="C43" s="157"/>
      <c r="D43" s="157"/>
      <c r="E43" s="157"/>
    </row>
    <row r="44" spans="1:5">
      <c r="A44" s="159">
        <f>A43+31</f>
        <v>44744</v>
      </c>
      <c r="B44" s="157"/>
      <c r="C44" s="157"/>
      <c r="D44" s="157"/>
      <c r="E44" s="157"/>
    </row>
    <row r="45" spans="1:5">
      <c r="A45" s="159">
        <f t="shared" ref="A45:A104" si="0">A44+31</f>
        <v>44775</v>
      </c>
      <c r="B45" s="157"/>
      <c r="C45" s="157"/>
      <c r="D45" s="157"/>
      <c r="E45" s="157"/>
    </row>
    <row r="46" spans="1:5">
      <c r="A46" s="159">
        <f t="shared" si="0"/>
        <v>44806</v>
      </c>
      <c r="B46" s="157"/>
      <c r="C46" s="157"/>
      <c r="D46" s="157"/>
      <c r="E46" s="157"/>
    </row>
    <row r="47" spans="1:5">
      <c r="A47" s="159">
        <f t="shared" si="0"/>
        <v>44837</v>
      </c>
      <c r="B47" s="157"/>
      <c r="C47" s="157"/>
      <c r="D47" s="157"/>
      <c r="E47" s="157"/>
    </row>
    <row r="48" spans="1:5">
      <c r="A48" s="159">
        <f t="shared" si="0"/>
        <v>44868</v>
      </c>
      <c r="B48" s="157"/>
      <c r="C48" s="157"/>
      <c r="D48" s="157"/>
      <c r="E48" s="157"/>
    </row>
    <row r="49" spans="1:5">
      <c r="A49" s="159">
        <f t="shared" si="0"/>
        <v>44899</v>
      </c>
      <c r="B49" s="157"/>
      <c r="C49" s="157"/>
      <c r="D49" s="157"/>
      <c r="E49" s="157"/>
    </row>
    <row r="50" spans="1:5">
      <c r="A50" s="159">
        <f t="shared" si="0"/>
        <v>44930</v>
      </c>
      <c r="B50" s="157"/>
      <c r="C50" s="157"/>
      <c r="D50" s="157"/>
      <c r="E50" s="157"/>
    </row>
    <row r="51" spans="1:5">
      <c r="A51" s="159">
        <f t="shared" si="0"/>
        <v>44961</v>
      </c>
      <c r="B51" s="157"/>
      <c r="C51" s="157"/>
      <c r="D51" s="157"/>
      <c r="E51" s="157"/>
    </row>
    <row r="52" spans="1:5">
      <c r="A52" s="159">
        <f t="shared" si="0"/>
        <v>44992</v>
      </c>
      <c r="B52" s="157"/>
      <c r="C52" s="157"/>
      <c r="D52" s="157"/>
      <c r="E52" s="157"/>
    </row>
    <row r="53" spans="1:5">
      <c r="A53" s="159">
        <f t="shared" si="0"/>
        <v>45023</v>
      </c>
      <c r="B53" s="157"/>
      <c r="C53" s="157"/>
      <c r="D53" s="157"/>
      <c r="E53" s="157"/>
    </row>
    <row r="54" spans="1:5">
      <c r="A54" s="159">
        <f t="shared" si="0"/>
        <v>45054</v>
      </c>
      <c r="B54" s="157"/>
      <c r="C54" s="157"/>
      <c r="D54" s="157"/>
      <c r="E54" s="157"/>
    </row>
    <row r="55" spans="1:5">
      <c r="A55" s="159">
        <f t="shared" si="0"/>
        <v>45085</v>
      </c>
      <c r="B55" s="157"/>
      <c r="C55" s="157"/>
      <c r="D55" s="157"/>
      <c r="E55" s="157"/>
    </row>
    <row r="56" spans="1:5">
      <c r="A56" s="159">
        <f t="shared" si="0"/>
        <v>45116</v>
      </c>
      <c r="B56" s="157"/>
      <c r="C56" s="157"/>
      <c r="D56" s="157"/>
      <c r="E56" s="157"/>
    </row>
    <row r="57" spans="1:5">
      <c r="A57" s="159">
        <f t="shared" si="0"/>
        <v>45147</v>
      </c>
      <c r="B57" s="157"/>
      <c r="C57" s="157"/>
      <c r="D57" s="157"/>
      <c r="E57" s="157"/>
    </row>
    <row r="58" spans="1:5">
      <c r="A58" s="159">
        <f t="shared" si="0"/>
        <v>45178</v>
      </c>
      <c r="B58" s="157"/>
      <c r="C58" s="157"/>
      <c r="D58" s="157"/>
      <c r="E58" s="157"/>
    </row>
    <row r="59" spans="1:5">
      <c r="A59" s="159">
        <f t="shared" si="0"/>
        <v>45209</v>
      </c>
      <c r="B59" s="157"/>
      <c r="C59" s="157"/>
      <c r="D59" s="157"/>
      <c r="E59" s="157"/>
    </row>
    <row r="60" spans="1:5">
      <c r="A60" s="159">
        <f t="shared" si="0"/>
        <v>45240</v>
      </c>
      <c r="B60" s="157"/>
      <c r="C60" s="157"/>
      <c r="D60" s="157"/>
      <c r="E60" s="157"/>
    </row>
    <row r="61" spans="1:5">
      <c r="A61" s="159">
        <f t="shared" si="0"/>
        <v>45271</v>
      </c>
      <c r="B61" s="157"/>
      <c r="C61" s="157"/>
      <c r="D61" s="157"/>
      <c r="E61" s="157"/>
    </row>
    <row r="62" spans="1:5">
      <c r="A62" s="159">
        <f t="shared" si="0"/>
        <v>45302</v>
      </c>
      <c r="B62" s="157"/>
      <c r="C62" s="157"/>
      <c r="D62" s="157"/>
      <c r="E62" s="157"/>
    </row>
    <row r="63" spans="1:5">
      <c r="A63" s="159">
        <f t="shared" si="0"/>
        <v>45333</v>
      </c>
      <c r="B63" s="157"/>
      <c r="C63" s="157"/>
      <c r="D63" s="157"/>
      <c r="E63" s="157"/>
    </row>
    <row r="64" spans="1:5">
      <c r="A64" s="159">
        <f t="shared" si="0"/>
        <v>45364</v>
      </c>
      <c r="B64" s="157"/>
      <c r="C64" s="157"/>
      <c r="D64" s="157"/>
      <c r="E64" s="157"/>
    </row>
    <row r="65" spans="1:5">
      <c r="A65" s="159">
        <f t="shared" si="0"/>
        <v>45395</v>
      </c>
      <c r="B65" s="157"/>
      <c r="C65" s="157"/>
      <c r="D65" s="157"/>
      <c r="E65" s="157"/>
    </row>
    <row r="66" spans="1:5">
      <c r="A66" s="159">
        <f t="shared" si="0"/>
        <v>45426</v>
      </c>
      <c r="B66" s="157"/>
      <c r="C66" s="157"/>
      <c r="D66" s="157"/>
      <c r="E66" s="157"/>
    </row>
    <row r="67" spans="1:5">
      <c r="A67" s="159">
        <f t="shared" si="0"/>
        <v>45457</v>
      </c>
      <c r="B67" s="157"/>
      <c r="C67" s="157"/>
      <c r="D67" s="157"/>
      <c r="E67" s="157"/>
    </row>
    <row r="68" spans="1:5">
      <c r="A68" s="159">
        <f t="shared" si="0"/>
        <v>45488</v>
      </c>
      <c r="B68" s="157"/>
      <c r="C68" s="157"/>
      <c r="D68" s="157"/>
      <c r="E68" s="157"/>
    </row>
    <row r="69" spans="1:5">
      <c r="A69" s="159">
        <f t="shared" si="0"/>
        <v>45519</v>
      </c>
      <c r="B69" s="157"/>
      <c r="C69" s="157"/>
      <c r="D69" s="157"/>
      <c r="E69" s="157"/>
    </row>
    <row r="70" spans="1:5">
      <c r="A70" s="159">
        <f t="shared" si="0"/>
        <v>45550</v>
      </c>
      <c r="B70" s="157"/>
      <c r="C70" s="157"/>
      <c r="D70" s="157"/>
      <c r="E70" s="157"/>
    </row>
    <row r="71" spans="1:5">
      <c r="A71" s="159">
        <f t="shared" si="0"/>
        <v>45581</v>
      </c>
      <c r="B71" s="157"/>
      <c r="C71" s="157"/>
      <c r="D71" s="157"/>
      <c r="E71" s="157"/>
    </row>
    <row r="72" spans="1:5">
      <c r="A72" s="159">
        <f t="shared" si="0"/>
        <v>45612</v>
      </c>
      <c r="B72" s="157"/>
      <c r="C72" s="157"/>
      <c r="D72" s="157"/>
      <c r="E72" s="157"/>
    </row>
    <row r="73" spans="1:5">
      <c r="A73" s="159">
        <f t="shared" si="0"/>
        <v>45643</v>
      </c>
      <c r="B73" s="157"/>
      <c r="C73" s="157"/>
      <c r="D73" s="157"/>
      <c r="E73" s="157"/>
    </row>
    <row r="74" spans="1:5">
      <c r="A74" s="159">
        <f t="shared" si="0"/>
        <v>45674</v>
      </c>
      <c r="B74" s="157"/>
      <c r="C74" s="157"/>
      <c r="D74" s="157"/>
      <c r="E74" s="157"/>
    </row>
    <row r="75" spans="1:5">
      <c r="A75" s="159">
        <f t="shared" si="0"/>
        <v>45705</v>
      </c>
      <c r="B75" s="157"/>
      <c r="C75" s="157"/>
      <c r="D75" s="157"/>
      <c r="E75" s="157"/>
    </row>
    <row r="76" spans="1:5">
      <c r="A76" s="159">
        <f t="shared" si="0"/>
        <v>45736</v>
      </c>
      <c r="B76" s="157"/>
      <c r="C76" s="157"/>
      <c r="D76" s="157"/>
      <c r="E76" s="157"/>
    </row>
    <row r="77" spans="1:5">
      <c r="A77" s="159">
        <f t="shared" si="0"/>
        <v>45767</v>
      </c>
      <c r="B77" s="157"/>
      <c r="C77" s="157"/>
      <c r="D77" s="157"/>
      <c r="E77" s="157"/>
    </row>
    <row r="78" spans="1:5">
      <c r="A78" s="159">
        <f t="shared" si="0"/>
        <v>45798</v>
      </c>
      <c r="B78" s="157"/>
      <c r="C78" s="157"/>
      <c r="D78" s="157"/>
      <c r="E78" s="157"/>
    </row>
    <row r="79" spans="1:5">
      <c r="A79" s="159">
        <f t="shared" si="0"/>
        <v>45829</v>
      </c>
      <c r="B79" s="157"/>
      <c r="C79" s="157"/>
      <c r="D79" s="157"/>
      <c r="E79" s="157"/>
    </row>
    <row r="80" spans="1:5">
      <c r="A80" s="159">
        <f t="shared" si="0"/>
        <v>45860</v>
      </c>
      <c r="B80" s="157"/>
      <c r="C80" s="157"/>
      <c r="D80" s="157"/>
      <c r="E80" s="157"/>
    </row>
    <row r="81" spans="1:5">
      <c r="A81" s="159">
        <f t="shared" si="0"/>
        <v>45891</v>
      </c>
      <c r="B81" s="157"/>
      <c r="C81" s="157"/>
      <c r="D81" s="157"/>
      <c r="E81" s="157"/>
    </row>
    <row r="82" spans="1:5">
      <c r="A82" s="159">
        <f t="shared" si="0"/>
        <v>45922</v>
      </c>
      <c r="B82" s="157"/>
      <c r="C82" s="157"/>
      <c r="D82" s="157"/>
      <c r="E82" s="157"/>
    </row>
    <row r="83" spans="1:5">
      <c r="A83" s="159">
        <f t="shared" si="0"/>
        <v>45953</v>
      </c>
      <c r="B83" s="157"/>
      <c r="C83" s="157"/>
      <c r="D83" s="157"/>
      <c r="E83" s="157"/>
    </row>
    <row r="84" spans="1:5">
      <c r="A84" s="159">
        <f t="shared" si="0"/>
        <v>45984</v>
      </c>
      <c r="B84" s="157"/>
      <c r="C84" s="157"/>
      <c r="D84" s="157"/>
      <c r="E84" s="157"/>
    </row>
    <row r="85" spans="1:5">
      <c r="A85" s="159">
        <f t="shared" si="0"/>
        <v>46015</v>
      </c>
      <c r="B85" s="157"/>
      <c r="C85" s="157"/>
      <c r="D85" s="157"/>
      <c r="E85" s="157"/>
    </row>
    <row r="86" spans="1:5">
      <c r="A86" s="159">
        <f t="shared" si="0"/>
        <v>46046</v>
      </c>
      <c r="B86" s="157"/>
      <c r="C86" s="157"/>
      <c r="D86" s="157"/>
      <c r="E86" s="157"/>
    </row>
    <row r="87" spans="1:5">
      <c r="A87" s="159">
        <f t="shared" si="0"/>
        <v>46077</v>
      </c>
      <c r="B87" s="157"/>
      <c r="C87" s="157"/>
      <c r="D87" s="157"/>
      <c r="E87" s="157"/>
    </row>
    <row r="88" spans="1:5">
      <c r="A88" s="159">
        <f t="shared" si="0"/>
        <v>46108</v>
      </c>
      <c r="B88" s="157"/>
      <c r="C88" s="157"/>
      <c r="D88" s="157"/>
      <c r="E88" s="157"/>
    </row>
    <row r="89" spans="1:5">
      <c r="A89" s="159">
        <f t="shared" si="0"/>
        <v>46139</v>
      </c>
      <c r="B89" s="157"/>
      <c r="C89" s="157"/>
      <c r="D89" s="157"/>
      <c r="E89" s="157"/>
    </row>
    <row r="90" spans="1:5">
      <c r="A90" s="159">
        <f t="shared" si="0"/>
        <v>46170</v>
      </c>
      <c r="B90" s="157"/>
      <c r="C90" s="157"/>
      <c r="D90" s="157"/>
      <c r="E90" s="157"/>
    </row>
    <row r="91" spans="1:5">
      <c r="A91" s="159">
        <f t="shared" si="0"/>
        <v>46201</v>
      </c>
      <c r="B91" s="157"/>
      <c r="C91" s="157"/>
      <c r="D91" s="157"/>
      <c r="E91" s="157"/>
    </row>
    <row r="92" spans="1:5">
      <c r="A92" s="159">
        <f t="shared" si="0"/>
        <v>46232</v>
      </c>
      <c r="B92" s="157"/>
      <c r="C92" s="157"/>
      <c r="D92" s="157"/>
      <c r="E92" s="157"/>
    </row>
    <row r="93" spans="1:5">
      <c r="A93" s="159">
        <f t="shared" si="0"/>
        <v>46263</v>
      </c>
      <c r="B93" s="157"/>
      <c r="C93" s="157"/>
      <c r="D93" s="157"/>
      <c r="E93" s="157"/>
    </row>
    <row r="94" spans="1:5">
      <c r="A94" s="159">
        <f t="shared" si="0"/>
        <v>46294</v>
      </c>
      <c r="B94" s="157"/>
      <c r="C94" s="157"/>
      <c r="D94" s="157"/>
      <c r="E94" s="157"/>
    </row>
    <row r="95" spans="1:5">
      <c r="A95" s="159">
        <f t="shared" si="0"/>
        <v>46325</v>
      </c>
      <c r="B95" s="157"/>
      <c r="C95" s="157"/>
      <c r="D95" s="157"/>
      <c r="E95" s="157"/>
    </row>
    <row r="96" spans="1:5">
      <c r="A96" s="159">
        <f t="shared" si="0"/>
        <v>46356</v>
      </c>
      <c r="B96" s="157"/>
      <c r="C96" s="157"/>
      <c r="D96" s="157"/>
      <c r="E96" s="157"/>
    </row>
    <row r="97" spans="1:5">
      <c r="A97" s="159">
        <f t="shared" si="0"/>
        <v>46387</v>
      </c>
      <c r="B97" s="157"/>
      <c r="C97" s="157"/>
      <c r="D97" s="157"/>
      <c r="E97" s="157"/>
    </row>
    <row r="98" spans="1:5">
      <c r="A98" s="159">
        <f t="shared" si="0"/>
        <v>46418</v>
      </c>
      <c r="B98" s="157"/>
      <c r="C98" s="157"/>
      <c r="D98" s="157"/>
      <c r="E98" s="157"/>
    </row>
    <row r="99" spans="1:5">
      <c r="A99" s="159">
        <f t="shared" si="0"/>
        <v>46449</v>
      </c>
      <c r="B99" s="157"/>
      <c r="C99" s="157"/>
      <c r="D99" s="157"/>
      <c r="E99" s="157"/>
    </row>
    <row r="100" spans="1:5">
      <c r="A100" s="159">
        <f t="shared" si="0"/>
        <v>46480</v>
      </c>
      <c r="B100" s="157"/>
      <c r="C100" s="157"/>
      <c r="D100" s="157"/>
      <c r="E100" s="157"/>
    </row>
    <row r="101" spans="1:5">
      <c r="A101" s="159">
        <f t="shared" si="0"/>
        <v>46511</v>
      </c>
      <c r="B101" s="157"/>
      <c r="C101" s="157"/>
      <c r="D101" s="157"/>
      <c r="E101" s="157"/>
    </row>
    <row r="102" spans="1:5">
      <c r="A102" s="159">
        <f t="shared" si="0"/>
        <v>46542</v>
      </c>
      <c r="B102" s="157"/>
      <c r="C102" s="157"/>
      <c r="D102" s="157"/>
      <c r="E102" s="157"/>
    </row>
    <row r="103" spans="1:5">
      <c r="A103" s="159">
        <f t="shared" si="0"/>
        <v>46573</v>
      </c>
      <c r="B103" s="157"/>
      <c r="C103" s="157"/>
      <c r="D103" s="157"/>
      <c r="E103" s="157"/>
    </row>
    <row r="104" spans="1:5">
      <c r="A104" s="159">
        <f t="shared" si="0"/>
        <v>46604</v>
      </c>
      <c r="B104" s="157"/>
      <c r="C104" s="157"/>
      <c r="D104" s="157"/>
      <c r="E104" s="1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NSF 1030 10-99</vt:lpstr>
      <vt:lpstr>Look up tables</vt:lpstr>
      <vt:lpstr>Answers</vt:lpstr>
      <vt:lpstr>Dates2027</vt:lpstr>
      <vt:lpstr>January_2019</vt:lpstr>
      <vt:lpstr>'NSF 1030 10-99'!Print_Area</vt:lpstr>
      <vt:lpstr>ProjectType</vt:lpstr>
    </vt:vector>
  </TitlesOfParts>
  <Company>Finance and Administrative Services and Comptroller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Computing Services</dc:creator>
  <cp:lastModifiedBy>Josh S Boudreaux</cp:lastModifiedBy>
  <cp:lastPrinted>2008-02-20T14:57:03Z</cp:lastPrinted>
  <dcterms:created xsi:type="dcterms:W3CDTF">1999-06-07T19:40:14Z</dcterms:created>
  <dcterms:modified xsi:type="dcterms:W3CDTF">2024-08-12T13:33:45Z</dcterms:modified>
</cp:coreProperties>
</file>